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0"/>
  </bookViews>
  <sheets>
    <sheet name="Condenser" sheetId="1" r:id="rId1"/>
    <sheet name="_Drain Cooler" sheetId="2" r:id="rId2"/>
    <sheet name="_Reaction Force" sheetId="3" r:id="rId3"/>
    <sheet name="LP #1" sheetId="4" r:id="rId4"/>
    <sheet name="LP #3" sheetId="5" r:id="rId5"/>
    <sheet name="HP #5" sheetId="6" r:id="rId6"/>
    <sheet name="HP #8" sheetId="7" r:id="rId7"/>
    <sheet name="a" sheetId="8" r:id="rId8"/>
  </sheets>
  <definedNames>
    <definedName name="_xlnm.Print_Area" localSheetId="1">'_Drain Cooler'!$A$1:$U$66</definedName>
    <definedName name="_xlnm.Print_Area" localSheetId="2">'_Reaction Force'!$A$1:$U$65</definedName>
    <definedName name="_xlnm.Print_Area" localSheetId="7">'a'!$A$1:$U$63</definedName>
    <definedName name="_xlnm.Print_Area" localSheetId="0">'Condenser'!$A$1:$U$66</definedName>
    <definedName name="_xlnm.Print_Area" localSheetId="5">'HP #5'!$A$1:$U$68</definedName>
    <definedName name="_xlnm.Print_Area" localSheetId="6">'HP #8'!$A$1:$U$68</definedName>
    <definedName name="_xlnm.Print_Area" localSheetId="3">'LP #1'!$A$1:$U$68</definedName>
    <definedName name="_xlnm.Print_Area" localSheetId="4">'LP #3'!$A$1:$U$68</definedName>
  </definedNames>
  <calcPr fullCalcOnLoad="1"/>
</workbook>
</file>

<file path=xl/sharedStrings.xml><?xml version="1.0" encoding="utf-8"?>
<sst xmlns="http://schemas.openxmlformats.org/spreadsheetml/2006/main" count="2112" uniqueCount="538">
  <si>
    <t>*2)</t>
  </si>
  <si>
    <t>*3)</t>
  </si>
  <si>
    <t>*4)</t>
  </si>
  <si>
    <t>A A A A A</t>
  </si>
  <si>
    <t xml:space="preserve"> Project</t>
  </si>
  <si>
    <t>Job No.</t>
  </si>
  <si>
    <t xml:space="preserve"> Client</t>
  </si>
  <si>
    <t>Doc. No.</t>
  </si>
  <si>
    <t xml:space="preserve"> Contractor</t>
  </si>
  <si>
    <t>Date</t>
  </si>
  <si>
    <t>2007.  1.  15.</t>
  </si>
  <si>
    <t xml:space="preserve"> Code/Standard</t>
  </si>
  <si>
    <t>Revision</t>
  </si>
  <si>
    <t xml:space="preserve"> Service of Unit</t>
  </si>
  <si>
    <t>Item No.</t>
  </si>
  <si>
    <t xml:space="preserve"> Type</t>
  </si>
  <si>
    <t>D E S I G N     I N F O R M A T I O N</t>
  </si>
  <si>
    <t>DI - AAA - 100</t>
  </si>
  <si>
    <t>kg/cm2.g</t>
  </si>
  <si>
    <t>℃</t>
  </si>
  <si>
    <t>Saturated</t>
  </si>
  <si>
    <t>H2O</t>
  </si>
  <si>
    <t>ASTM</t>
  </si>
  <si>
    <t>plate</t>
  </si>
  <si>
    <t>A 516-70</t>
  </si>
  <si>
    <t>N4</t>
  </si>
  <si>
    <t>N3</t>
  </si>
  <si>
    <t>111-M-HE-001</t>
  </si>
  <si>
    <t>***</t>
  </si>
  <si>
    <t>A 283-C</t>
  </si>
  <si>
    <t xml:space="preserve"> Project</t>
  </si>
  <si>
    <t>Songdo CCPP</t>
  </si>
  <si>
    <t>Job No.</t>
  </si>
  <si>
    <t>060353</t>
  </si>
  <si>
    <t xml:space="preserve"> Client</t>
  </si>
  <si>
    <t>Incheon Energy Co., Ltd.</t>
  </si>
  <si>
    <t>Doc. No.</t>
  </si>
  <si>
    <t>CAL - TEXP - 100</t>
  </si>
  <si>
    <t xml:space="preserve"> Contractor</t>
  </si>
  <si>
    <t>Daelim Industrial Co., Ltd.</t>
  </si>
  <si>
    <t>Date</t>
  </si>
  <si>
    <t>Revision</t>
  </si>
  <si>
    <t xml:space="preserve"> Service of Unit</t>
  </si>
  <si>
    <t>DH Heater #1</t>
  </si>
  <si>
    <t>Item No.</t>
  </si>
  <si>
    <t>D E S I G N   D A T A</t>
  </si>
  <si>
    <t>Shell Side</t>
  </si>
  <si>
    <t>Tube Side</t>
  </si>
  <si>
    <t xml:space="preserve"> Fluid Name</t>
  </si>
  <si>
    <t>Steam</t>
  </si>
  <si>
    <t>DH Water</t>
  </si>
  <si>
    <t xml:space="preserve"> Fluid Kind</t>
  </si>
  <si>
    <t xml:space="preserve"> Inlet Temp.</t>
  </si>
  <si>
    <t>Ti</t>
  </si>
  <si>
    <t>=</t>
  </si>
  <si>
    <t xml:space="preserve"> Fluid in DB</t>
  </si>
  <si>
    <t>To</t>
  </si>
  <si>
    <t xml:space="preserve"> Outlet Temp.</t>
  </si>
  <si>
    <t xml:space="preserve"> Shell Material</t>
  </si>
  <si>
    <t xml:space="preserve"> Channel Material</t>
  </si>
  <si>
    <t xml:space="preserve"> Material</t>
  </si>
  <si>
    <t xml:space="preserve"> Ambinet Temp.</t>
  </si>
  <si>
    <t>Ta</t>
  </si>
  <si>
    <t>A S S U M P T I O N     f o r     C A L C U L A T I O N</t>
  </si>
  <si>
    <t>1.</t>
  </si>
  <si>
    <t>Saddle expansion is not considered.</t>
  </si>
  <si>
    <t>2.</t>
  </si>
  <si>
    <t>Origin of coordinate is located at the point, where there is no movement.</t>
  </si>
  <si>
    <t>3.</t>
  </si>
  <si>
    <t>Mean coefficient of thermal expansion values are from TEMA, Table D-11 M.</t>
  </si>
  <si>
    <t>C A L C U L A T I O N     R E S U L T</t>
  </si>
  <si>
    <t>Δ (</t>
  </si>
  <si>
    <t>)</t>
  </si>
  <si>
    <t>N1</t>
  </si>
  <si>
    <t xml:space="preserve">  t</t>
  </si>
  <si>
    <t>ID</t>
  </si>
  <si>
    <t>OD</t>
  </si>
  <si>
    <t>SS</t>
  </si>
  <si>
    <t>C A L C U L A T I O N     D E T A I L</t>
  </si>
  <si>
    <t>αT</t>
  </si>
  <si>
    <t>at</t>
  </si>
  <si>
    <t>Oper. Temp.</t>
  </si>
  <si>
    <t>Inlet Temp.</t>
  </si>
  <si>
    <r>
      <t xml:space="preserve">mm / mm </t>
    </r>
    <r>
      <rPr>
        <sz val="8"/>
        <rFont val="돋움"/>
        <family val="3"/>
      </rPr>
      <t>℃</t>
    </r>
    <r>
      <rPr>
        <sz val="8"/>
        <rFont val="Arial"/>
        <family val="2"/>
      </rPr>
      <t xml:space="preserve"> / 10^6</t>
    </r>
  </si>
  <si>
    <t>Outlet Temp.</t>
  </si>
  <si>
    <t>αTa</t>
  </si>
  <si>
    <t>Ambient Temp.</t>
  </si>
  <si>
    <t xml:space="preserve"> Calculation Formula   :</t>
  </si>
  <si>
    <t>Δ</t>
  </si>
  <si>
    <t xml:space="preserve">L  x  (  αT  x  T  -  αTa  x  Ta  ) </t>
  </si>
  <si>
    <t xml:space="preserve">Where,  </t>
  </si>
  <si>
    <t>L</t>
  </si>
  <si>
    <t>Length</t>
  </si>
  <si>
    <t>mm</t>
  </si>
  <si>
    <t>T</t>
  </si>
  <si>
    <t>Temp., Oper, Inlet or Outlet</t>
  </si>
  <si>
    <t>℃</t>
  </si>
  <si>
    <t>Elongation</t>
  </si>
  <si>
    <t xml:space="preserve"> Point</t>
  </si>
  <si>
    <t>Δx</t>
  </si>
  <si>
    <t>x  (</t>
  </si>
  <si>
    <t>x</t>
  </si>
  <si>
    <t>-</t>
  </si>
  <si>
    <t>)  /  10^6</t>
  </si>
  <si>
    <t>Δz</t>
  </si>
  <si>
    <t>Δxs</t>
  </si>
  <si>
    <t>Δxc</t>
  </si>
  <si>
    <t>+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</si>
  <si>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</si>
  <si>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</si>
  <si>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>*2)</t>
  </si>
  <si>
    <t>*5)</t>
  </si>
  <si>
    <t xml:space="preserve"> Project</t>
  </si>
  <si>
    <t>Gangnam CCPP</t>
  </si>
  <si>
    <t>Job No.</t>
  </si>
  <si>
    <t>Later</t>
  </si>
  <si>
    <t xml:space="preserve"> Client</t>
  </si>
  <si>
    <t>KDHC</t>
  </si>
  <si>
    <t>Doc. No.</t>
  </si>
  <si>
    <t>CAL - TEXP - 100</t>
  </si>
  <si>
    <t xml:space="preserve"> Contractor</t>
  </si>
  <si>
    <t>Won Plant Co., Ltd.</t>
  </si>
  <si>
    <t>Date</t>
  </si>
  <si>
    <t>Revision</t>
  </si>
  <si>
    <t xml:space="preserve"> Service of Unit</t>
  </si>
  <si>
    <t>Turbine By-pass H/E</t>
  </si>
  <si>
    <t>Item No.</t>
  </si>
  <si>
    <t>112-M-HE-003</t>
  </si>
  <si>
    <t>D E S I G N   D A T A</t>
  </si>
  <si>
    <t>Shell Side</t>
  </si>
  <si>
    <t>Tube Side</t>
  </si>
  <si>
    <t xml:space="preserve"> Fluid Name</t>
  </si>
  <si>
    <t>Steam</t>
  </si>
  <si>
    <t xml:space="preserve"> Fluid Kind</t>
  </si>
  <si>
    <t xml:space="preserve"> Inlet Temp.</t>
  </si>
  <si>
    <t>Ti</t>
  </si>
  <si>
    <t>=</t>
  </si>
  <si>
    <t xml:space="preserve"> Fluid in DB</t>
  </si>
  <si>
    <t>To</t>
  </si>
  <si>
    <t xml:space="preserve"> Outlet Temp.</t>
  </si>
  <si>
    <t xml:space="preserve"> Shell Material</t>
  </si>
  <si>
    <t xml:space="preserve"> Channel Material</t>
  </si>
  <si>
    <t xml:space="preserve"> Material</t>
  </si>
  <si>
    <t xml:space="preserve"> Ambinet Temp.</t>
  </si>
  <si>
    <t>Ta</t>
  </si>
  <si>
    <t>A S S U M P T I O N     f o r     C A L C U L A T I O N</t>
  </si>
  <si>
    <t>1.</t>
  </si>
  <si>
    <t>Saddle expansion is not considered.</t>
  </si>
  <si>
    <t>2.</t>
  </si>
  <si>
    <t>Origin of coordinate is located at the point, where there is no movement.</t>
  </si>
  <si>
    <t>3.</t>
  </si>
  <si>
    <t>Mean coefficient of thermal expansion values are from TEMA, Table D-11 M.</t>
  </si>
  <si>
    <t>C A L C U L A T I O N     R E S U L T</t>
  </si>
  <si>
    <t>Δ (</t>
  </si>
  <si>
    <t>)</t>
  </si>
  <si>
    <t>N1</t>
  </si>
  <si>
    <t xml:space="preserve">  t</t>
  </si>
  <si>
    <t>ID</t>
  </si>
  <si>
    <t>OD</t>
  </si>
  <si>
    <t>SS</t>
  </si>
  <si>
    <t>)   Δ (</t>
  </si>
  <si>
    <t>C A L C U L A T I O N     D E T A I L</t>
  </si>
  <si>
    <t>αT</t>
  </si>
  <si>
    <t>at</t>
  </si>
  <si>
    <t>Oper. Temp.</t>
  </si>
  <si>
    <t>Inlet Temp.</t>
  </si>
  <si>
    <r>
      <t xml:space="preserve">mm / mm </t>
    </r>
    <r>
      <rPr>
        <sz val="8"/>
        <rFont val="돋움"/>
        <family val="3"/>
      </rPr>
      <t>℃</t>
    </r>
    <r>
      <rPr>
        <sz val="8"/>
        <rFont val="Arial"/>
        <family val="2"/>
      </rPr>
      <t xml:space="preserve"> / 10^6</t>
    </r>
  </si>
  <si>
    <t>Outlet Temp.</t>
  </si>
  <si>
    <t>αTa</t>
  </si>
  <si>
    <t>Ambient Temp.</t>
  </si>
  <si>
    <t xml:space="preserve"> Calculation Formula   :</t>
  </si>
  <si>
    <t>Δ</t>
  </si>
  <si>
    <t xml:space="preserve">L  x  (  αT  x  T  -  αTa  x  Ta  ) </t>
  </si>
  <si>
    <t xml:space="preserve">Where,  </t>
  </si>
  <si>
    <t>L</t>
  </si>
  <si>
    <t>Length</t>
  </si>
  <si>
    <t>mm</t>
  </si>
  <si>
    <t>T</t>
  </si>
  <si>
    <t>Temp., Oper, Inlet or Outlet</t>
  </si>
  <si>
    <t>℃</t>
  </si>
  <si>
    <t>Elongation</t>
  </si>
  <si>
    <t xml:space="preserve"> Point</t>
  </si>
  <si>
    <t>Δx</t>
  </si>
  <si>
    <t>x  (</t>
  </si>
  <si>
    <t>x</t>
  </si>
  <si>
    <t>-</t>
  </si>
  <si>
    <t>)  /  10^6</t>
  </si>
  <si>
    <t>Δz</t>
  </si>
  <si>
    <t>Δxs</t>
  </si>
  <si>
    <t>Δxc</t>
  </si>
  <si>
    <t>+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</si>
  <si>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</si>
  <si>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</si>
  <si>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>Gangnam CCPP</t>
  </si>
  <si>
    <t>Later</t>
  </si>
  <si>
    <t>KDHC</t>
  </si>
  <si>
    <t>CAL - TERF - 100</t>
  </si>
  <si>
    <t>Won Plant Co., Ltd.</t>
  </si>
  <si>
    <t>Turbine By-pass H/E</t>
  </si>
  <si>
    <t>112-M-HE-003</t>
  </si>
  <si>
    <t>R (</t>
  </si>
  <si>
    <t>)   ID</t>
  </si>
  <si>
    <t>t</t>
  </si>
  <si>
    <t>)   Δ (</t>
  </si>
  <si>
    <t xml:space="preserve"> Modulus of Elasticity</t>
  </si>
  <si>
    <t>E</t>
  </si>
  <si>
    <t>R</t>
  </si>
  <si>
    <t xml:space="preserve">A  x  E  x  (  αT  x  T  -  αTa  x  Ta  ) </t>
  </si>
  <si>
    <t>Reaction Force when constrained</t>
  </si>
  <si>
    <t>A</t>
  </si>
  <si>
    <t>Nozzle Section Area</t>
  </si>
  <si>
    <t>Δx  =</t>
  </si>
  <si>
    <t>)  /  10^6  =</t>
  </si>
  <si>
    <t>Δz  =</t>
  </si>
  <si>
    <t>Rx</t>
  </si>
  <si>
    <t xml:space="preserve">(  αT  x  T  -  αTa  x  Ta  ) </t>
  </si>
  <si>
    <t xml:space="preserve">   /  10^6</t>
  </si>
  <si>
    <t>Rz</t>
  </si>
  <si>
    <t>Δxs =</t>
  </si>
  <si>
    <t>Δxc =</t>
  </si>
  <si>
    <t xml:space="preserve"> Mean Coeff. of Thermal Expansion</t>
  </si>
  <si>
    <t>DH Water</t>
  </si>
  <si>
    <t>N5</t>
  </si>
  <si>
    <r>
      <t>C A L C U L A T I O N     o f</t>
    </r>
    <r>
      <rPr>
        <b/>
        <sz val="10"/>
        <color indexed="12"/>
        <rFont val="Arial"/>
        <family val="2"/>
      </rPr>
      <t xml:space="preserve">     T H E R M A L     E X P A N S I O N</t>
    </r>
  </si>
  <si>
    <t>Sat.</t>
  </si>
  <si>
    <t>&lt; Tsat.</t>
  </si>
  <si>
    <t>&lt; TSH</t>
  </si>
  <si>
    <t>Ti</t>
  </si>
  <si>
    <t xml:space="preserve"> Inlet Press.</t>
  </si>
  <si>
    <t xml:space="preserve"> Inlet Temp.</t>
  </si>
  <si>
    <t>N2</t>
  </si>
  <si>
    <t>*2)</t>
  </si>
  <si>
    <t>*3)</t>
  </si>
  <si>
    <t>*2)</t>
  </si>
  <si>
    <t>*3)</t>
  </si>
  <si>
    <r>
      <t>C A L C U L A T I O N     o f</t>
    </r>
    <r>
      <rPr>
        <b/>
        <sz val="10"/>
        <color indexed="12"/>
        <rFont val="Arial"/>
        <family val="2"/>
      </rPr>
      <t xml:space="preserve">     T H E R M A L     E X P A N S I O N</t>
    </r>
  </si>
  <si>
    <t xml:space="preserve"> Project</t>
  </si>
  <si>
    <t>Job No.</t>
  </si>
  <si>
    <t xml:space="preserve"> Client</t>
  </si>
  <si>
    <t>Doc. No.</t>
  </si>
  <si>
    <t>CAL - TEXP - 100</t>
  </si>
  <si>
    <t xml:space="preserve"> Contractor</t>
  </si>
  <si>
    <t>Date</t>
  </si>
  <si>
    <t>Revision</t>
  </si>
  <si>
    <t>&lt; Tsat.</t>
  </si>
  <si>
    <t xml:space="preserve"> Service of Unit</t>
  </si>
  <si>
    <t>Item No.</t>
  </si>
  <si>
    <t>&lt; TSH</t>
  </si>
  <si>
    <t>D E S I G N   D A T A</t>
  </si>
  <si>
    <t>Shell Side</t>
  </si>
  <si>
    <t>Tube Side</t>
  </si>
  <si>
    <t xml:space="preserve"> Fluid Name</t>
  </si>
  <si>
    <t>Steam</t>
  </si>
  <si>
    <t xml:space="preserve"> Fluid Kind</t>
  </si>
  <si>
    <t xml:space="preserve"> Inlet Press.</t>
  </si>
  <si>
    <t xml:space="preserve"> Inlet Temp.</t>
  </si>
  <si>
    <t>Ti</t>
  </si>
  <si>
    <t>=</t>
  </si>
  <si>
    <t xml:space="preserve"> Fluid in DB</t>
  </si>
  <si>
    <t xml:space="preserve"> Outlet Temp.</t>
  </si>
  <si>
    <t>To</t>
  </si>
  <si>
    <t xml:space="preserve"> Shell Material</t>
  </si>
  <si>
    <t xml:space="preserve"> Channel Material</t>
  </si>
  <si>
    <t xml:space="preserve"> Material</t>
  </si>
  <si>
    <t xml:space="preserve"> Ambinet Temp.</t>
  </si>
  <si>
    <t>Ta</t>
  </si>
  <si>
    <t>A S S U M P T I O N     f o r     C A L C U L A T I O N</t>
  </si>
  <si>
    <t>1.</t>
  </si>
  <si>
    <t>Saddle expansion is not considered.</t>
  </si>
  <si>
    <t>2.</t>
  </si>
  <si>
    <t>Origin of coordinate is located at the point, where there is no movement.</t>
  </si>
  <si>
    <t>3.</t>
  </si>
  <si>
    <t>Mean coefficient of thermal expansion values are from TEMA, Table D-11 M.</t>
  </si>
  <si>
    <t>C A L C U L A T I O N     R E S U L T</t>
  </si>
  <si>
    <t>Δ (</t>
  </si>
  <si>
    <t>)</t>
  </si>
  <si>
    <t xml:space="preserve">  t</t>
  </si>
  <si>
    <t>ID</t>
  </si>
  <si>
    <t>OD</t>
  </si>
  <si>
    <t>)   Δ (</t>
  </si>
  <si>
    <t>C A L C U L A T I O N     D E T A I L</t>
  </si>
  <si>
    <t xml:space="preserve"> Mean Coeff. of Thermal Expansion</t>
  </si>
  <si>
    <t>αT</t>
  </si>
  <si>
    <t>at</t>
  </si>
  <si>
    <t>Oper. Temp.</t>
  </si>
  <si>
    <t>Inlet Temp.</t>
  </si>
  <si>
    <r>
      <t xml:space="preserve">mm / mm </t>
    </r>
    <r>
      <rPr>
        <sz val="8"/>
        <rFont val="돋움"/>
        <family val="3"/>
      </rPr>
      <t>℃</t>
    </r>
    <r>
      <rPr>
        <sz val="8"/>
        <rFont val="Arial"/>
        <family val="2"/>
      </rPr>
      <t xml:space="preserve"> / 10^6</t>
    </r>
  </si>
  <si>
    <t>Outlet Temp.</t>
  </si>
  <si>
    <t>αTa</t>
  </si>
  <si>
    <t>Ambient Temp.</t>
  </si>
  <si>
    <t xml:space="preserve"> Calculation Formula   :</t>
  </si>
  <si>
    <t>Δ</t>
  </si>
  <si>
    <t xml:space="preserve">L  x  (  αT  x  T  -  αTa  x  Ta  ) </t>
  </si>
  <si>
    <t xml:space="preserve">Where,  </t>
  </si>
  <si>
    <t>L</t>
  </si>
  <si>
    <t>Length</t>
  </si>
  <si>
    <t>mm</t>
  </si>
  <si>
    <t>T</t>
  </si>
  <si>
    <t>Temp., Oper, Inlet or Outlet</t>
  </si>
  <si>
    <t>℃</t>
  </si>
  <si>
    <t>Elongation</t>
  </si>
  <si>
    <t xml:space="preserve"> Point</t>
  </si>
  <si>
    <t>Δx</t>
  </si>
  <si>
    <t>x  (</t>
  </si>
  <si>
    <t>x</t>
  </si>
  <si>
    <t>-</t>
  </si>
  <si>
    <t>)  /  10^6</t>
  </si>
  <si>
    <t>Δz</t>
  </si>
  <si>
    <t>Δxs</t>
  </si>
  <si>
    <t>Δxc</t>
  </si>
  <si>
    <t>+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</si>
  <si>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</si>
  <si>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</si>
  <si>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>*2)</t>
  </si>
  <si>
    <t>*3)</t>
  </si>
  <si>
    <t>Paco Power Plant Project</t>
  </si>
  <si>
    <t>Minera Panama S.A</t>
  </si>
  <si>
    <t>SK E&amp;C</t>
  </si>
  <si>
    <t>11217D</t>
  </si>
  <si>
    <t>LP Heater #1</t>
  </si>
  <si>
    <t>1CD003A,  2CD003A</t>
  </si>
  <si>
    <t>A</t>
  </si>
  <si>
    <t>B</t>
  </si>
  <si>
    <t>E</t>
  </si>
  <si>
    <t>D</t>
  </si>
  <si>
    <t>F</t>
  </si>
  <si>
    <t>C2</t>
  </si>
  <si>
    <t>C1</t>
  </si>
  <si>
    <r>
      <t>C A L C U L A T I O N     o f</t>
    </r>
    <r>
      <rPr>
        <b/>
        <sz val="10"/>
        <color indexed="12"/>
        <rFont val="Arial"/>
        <family val="2"/>
      </rPr>
      <t xml:space="preserve">     T H E R M A L     E X P A N S I O N</t>
    </r>
  </si>
  <si>
    <t xml:space="preserve"> Project</t>
  </si>
  <si>
    <t>Paco Power Plant Project</t>
  </si>
  <si>
    <t>Job No.</t>
  </si>
  <si>
    <t>11217D</t>
  </si>
  <si>
    <t xml:space="preserve"> Client</t>
  </si>
  <si>
    <t>Minera Panama S.A</t>
  </si>
  <si>
    <t>Doc. No.</t>
  </si>
  <si>
    <t>CAL - TEXP - 100</t>
  </si>
  <si>
    <t xml:space="preserve"> Contractor</t>
  </si>
  <si>
    <t>SK E&amp;C</t>
  </si>
  <si>
    <t>Date</t>
  </si>
  <si>
    <t>Revision</t>
  </si>
  <si>
    <t>&lt; Tsat.</t>
  </si>
  <si>
    <t xml:space="preserve"> Service of Unit</t>
  </si>
  <si>
    <t>Item No.</t>
  </si>
  <si>
    <t>&lt; TSH</t>
  </si>
  <si>
    <t>D E S I G N   D A T A</t>
  </si>
  <si>
    <t>Shell Side</t>
  </si>
  <si>
    <t>Tube Side</t>
  </si>
  <si>
    <t xml:space="preserve"> Fluid Name</t>
  </si>
  <si>
    <t>Steam</t>
  </si>
  <si>
    <t xml:space="preserve"> Fluid Kind</t>
  </si>
  <si>
    <t xml:space="preserve"> Inlet Press.</t>
  </si>
  <si>
    <t xml:space="preserve"> Inlet Temp.</t>
  </si>
  <si>
    <t>Ti</t>
  </si>
  <si>
    <t>=</t>
  </si>
  <si>
    <t xml:space="preserve"> Fluid in DB</t>
  </si>
  <si>
    <t xml:space="preserve"> Outlet Temp.</t>
  </si>
  <si>
    <t>To</t>
  </si>
  <si>
    <t xml:space="preserve"> Shell Material</t>
  </si>
  <si>
    <t xml:space="preserve"> Channel Material</t>
  </si>
  <si>
    <t xml:space="preserve"> Material</t>
  </si>
  <si>
    <t xml:space="preserve"> Ambinet Temp.</t>
  </si>
  <si>
    <t>Ta</t>
  </si>
  <si>
    <t>A S S U M P T I O N     f o r     C A L C U L A T I O N</t>
  </si>
  <si>
    <t>1.</t>
  </si>
  <si>
    <t>Saddle expansion is not considered.</t>
  </si>
  <si>
    <t>2.</t>
  </si>
  <si>
    <t>Origin of coordinate is located at the point, where there is no movement.</t>
  </si>
  <si>
    <t>3.</t>
  </si>
  <si>
    <t>Mean coefficient of thermal expansion values are from TEMA, Table D-11 M.</t>
  </si>
  <si>
    <t>C A L C U L A T I O N     R E S U L T</t>
  </si>
  <si>
    <t>Δ (</t>
  </si>
  <si>
    <t>)</t>
  </si>
  <si>
    <t>B</t>
  </si>
  <si>
    <t xml:space="preserve">  t</t>
  </si>
  <si>
    <t>ID</t>
  </si>
  <si>
    <t>OD</t>
  </si>
  <si>
    <t>A</t>
  </si>
  <si>
    <t>E</t>
  </si>
  <si>
    <t>F</t>
  </si>
  <si>
    <t>)   Δ (</t>
  </si>
  <si>
    <t>C A L C U L A T I O N     D E T A I L</t>
  </si>
  <si>
    <t xml:space="preserve"> Mean Coeff. of Thermal Expansion</t>
  </si>
  <si>
    <t>αT</t>
  </si>
  <si>
    <t>at</t>
  </si>
  <si>
    <t>Oper. Temp.</t>
  </si>
  <si>
    <t>Inlet Temp.</t>
  </si>
  <si>
    <r>
      <t xml:space="preserve">mm / mm </t>
    </r>
    <r>
      <rPr>
        <sz val="8"/>
        <rFont val="돋움"/>
        <family val="3"/>
      </rPr>
      <t>℃</t>
    </r>
    <r>
      <rPr>
        <sz val="8"/>
        <rFont val="Arial"/>
        <family val="2"/>
      </rPr>
      <t xml:space="preserve"> / 10^6</t>
    </r>
  </si>
  <si>
    <t>Outlet Temp.</t>
  </si>
  <si>
    <t>αTa</t>
  </si>
  <si>
    <t>Ambient Temp.</t>
  </si>
  <si>
    <t xml:space="preserve"> Calculation Formula   :</t>
  </si>
  <si>
    <t>Δ</t>
  </si>
  <si>
    <t>=</t>
  </si>
  <si>
    <t xml:space="preserve">L  x  (  αT  x  T  -  αTa  x  Ta  ) </t>
  </si>
  <si>
    <t xml:space="preserve">Where,  </t>
  </si>
  <si>
    <t>L</t>
  </si>
  <si>
    <t>Length</t>
  </si>
  <si>
    <t>mm</t>
  </si>
  <si>
    <t>T</t>
  </si>
  <si>
    <t>Temp., Oper, Inlet or Outlet</t>
  </si>
  <si>
    <t>℃</t>
  </si>
  <si>
    <t>Elongation</t>
  </si>
  <si>
    <t xml:space="preserve"> Point</t>
  </si>
  <si>
    <t>Δx</t>
  </si>
  <si>
    <t>x  (</t>
  </si>
  <si>
    <t>x</t>
  </si>
  <si>
    <t>-</t>
  </si>
  <si>
    <t>)  /  10^6</t>
  </si>
  <si>
    <t>Δz</t>
  </si>
  <si>
    <t>Δxs</t>
  </si>
  <si>
    <t>Δxc</t>
  </si>
  <si>
    <t>+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</si>
  <si>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</si>
  <si>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</si>
  <si>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>LP Heater #3</t>
  </si>
  <si>
    <t>1CD005A,  2CD005A</t>
  </si>
  <si>
    <t>Condensate</t>
  </si>
  <si>
    <t>bar.g</t>
  </si>
  <si>
    <t>/</t>
  </si>
  <si>
    <t>***</t>
  </si>
  <si>
    <t>C</t>
  </si>
  <si>
    <t>Condensate</t>
  </si>
  <si>
    <t>S/H</t>
  </si>
  <si>
    <r>
      <t>C A L C U L A T I O N     o f</t>
    </r>
    <r>
      <rPr>
        <b/>
        <sz val="10"/>
        <color indexed="12"/>
        <rFont val="Arial"/>
        <family val="2"/>
      </rPr>
      <t xml:space="preserve">     T H E R M A L     E X P A N S I O N</t>
    </r>
  </si>
  <si>
    <t xml:space="preserve"> Project</t>
  </si>
  <si>
    <t>Paco Power Plant Project</t>
  </si>
  <si>
    <t>Job No.</t>
  </si>
  <si>
    <t>11217D</t>
  </si>
  <si>
    <t xml:space="preserve"> Client</t>
  </si>
  <si>
    <t>Minera Panama S.A</t>
  </si>
  <si>
    <t>Doc. No.</t>
  </si>
  <si>
    <t>CAL - TEXP - 100</t>
  </si>
  <si>
    <t xml:space="preserve"> Contractor</t>
  </si>
  <si>
    <t>SK E&amp;C</t>
  </si>
  <si>
    <t>Date</t>
  </si>
  <si>
    <t>Revision</t>
  </si>
  <si>
    <t>&lt; Tsat.</t>
  </si>
  <si>
    <t xml:space="preserve"> Service of Unit</t>
  </si>
  <si>
    <t>Item No.</t>
  </si>
  <si>
    <t>&lt; TSH</t>
  </si>
  <si>
    <t>D E S I G N   D A T A</t>
  </si>
  <si>
    <t>Shell Side</t>
  </si>
  <si>
    <t>Tube Side</t>
  </si>
  <si>
    <t xml:space="preserve"> Fluid Name</t>
  </si>
  <si>
    <t>Steam</t>
  </si>
  <si>
    <t xml:space="preserve"> Fluid Kind</t>
  </si>
  <si>
    <t xml:space="preserve"> Inlet Press.</t>
  </si>
  <si>
    <t>/</t>
  </si>
  <si>
    <t xml:space="preserve"> Inlet Temp.</t>
  </si>
  <si>
    <t>Ti</t>
  </si>
  <si>
    <t>=</t>
  </si>
  <si>
    <t xml:space="preserve"> Fluid in DB</t>
  </si>
  <si>
    <t xml:space="preserve"> Outlet Temp.</t>
  </si>
  <si>
    <t>To</t>
  </si>
  <si>
    <t xml:space="preserve"> Shell Material</t>
  </si>
  <si>
    <t xml:space="preserve"> Channel Material</t>
  </si>
  <si>
    <t xml:space="preserve"> Material</t>
  </si>
  <si>
    <t xml:space="preserve"> Ambinet Temp.</t>
  </si>
  <si>
    <t>Ta</t>
  </si>
  <si>
    <t>A S S U M P T I O N     f o r     C A L C U L A T I O N</t>
  </si>
  <si>
    <t>1.</t>
  </si>
  <si>
    <t>Saddle expansion is not considered.</t>
  </si>
  <si>
    <t>2.</t>
  </si>
  <si>
    <t>Origin of coordinate is located at the point, where there is no movement.</t>
  </si>
  <si>
    <t>3.</t>
  </si>
  <si>
    <t>Mean coefficient of thermal expansion values are from TEMA, Table D-11 M.</t>
  </si>
  <si>
    <t>C A L C U L A T I O N     R E S U L T</t>
  </si>
  <si>
    <t>Δ (</t>
  </si>
  <si>
    <t>)</t>
  </si>
  <si>
    <t>B</t>
  </si>
  <si>
    <t>C</t>
  </si>
  <si>
    <t>***</t>
  </si>
  <si>
    <t xml:space="preserve">  t</t>
  </si>
  <si>
    <t>ID</t>
  </si>
  <si>
    <t>OD</t>
  </si>
  <si>
    <t>A</t>
  </si>
  <si>
    <t>E</t>
  </si>
  <si>
    <t>F</t>
  </si>
  <si>
    <t>)   Δ (</t>
  </si>
  <si>
    <t>C A L C U L A T I O N     D E T A I L</t>
  </si>
  <si>
    <t xml:space="preserve"> Mean Coeff. of Thermal Expansion</t>
  </si>
  <si>
    <t>αT</t>
  </si>
  <si>
    <t>at</t>
  </si>
  <si>
    <t>Oper. Temp.</t>
  </si>
  <si>
    <t>Inlet Temp.</t>
  </si>
  <si>
    <r>
      <t xml:space="preserve">mm / mm </t>
    </r>
    <r>
      <rPr>
        <sz val="8"/>
        <rFont val="돋움"/>
        <family val="3"/>
      </rPr>
      <t>℃</t>
    </r>
    <r>
      <rPr>
        <sz val="8"/>
        <rFont val="Arial"/>
        <family val="2"/>
      </rPr>
      <t xml:space="preserve"> / 10^6</t>
    </r>
  </si>
  <si>
    <t>Outlet Temp.</t>
  </si>
  <si>
    <t>αTa</t>
  </si>
  <si>
    <t>Ambient Temp.</t>
  </si>
  <si>
    <t xml:space="preserve"> Calculation Formula   :</t>
  </si>
  <si>
    <t>Δ</t>
  </si>
  <si>
    <t xml:space="preserve">L  x  (  αT  x  T  -  αTa  x  Ta  ) </t>
  </si>
  <si>
    <t xml:space="preserve">Where,  </t>
  </si>
  <si>
    <t>L</t>
  </si>
  <si>
    <t>Length</t>
  </si>
  <si>
    <t>mm</t>
  </si>
  <si>
    <t>T</t>
  </si>
  <si>
    <t>Temp., Oper, Inlet or Outlet</t>
  </si>
  <si>
    <t>℃</t>
  </si>
  <si>
    <t>Elongation</t>
  </si>
  <si>
    <t xml:space="preserve"> Point</t>
  </si>
  <si>
    <t>Δx</t>
  </si>
  <si>
    <t>x  (</t>
  </si>
  <si>
    <t>x</t>
  </si>
  <si>
    <t>-</t>
  </si>
  <si>
    <t>)  /  10^6</t>
  </si>
  <si>
    <t>Δz</t>
  </si>
  <si>
    <t>Δxs</t>
  </si>
  <si>
    <t>Δxc</t>
  </si>
  <si>
    <t>+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</si>
  <si>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</si>
  <si>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</si>
  <si>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>*2)</t>
  </si>
  <si>
    <t>*3)</t>
  </si>
  <si>
    <t>HP Heater #5</t>
  </si>
  <si>
    <t>1FW001A,  2FW001A</t>
  </si>
  <si>
    <t>deg</t>
  </si>
  <si>
    <t>Δzci</t>
  </si>
  <si>
    <t>Δzco</t>
  </si>
  <si>
    <t>Δzci</t>
  </si>
  <si>
    <t>Δzco</t>
  </si>
  <si>
    <t>To</t>
  </si>
  <si>
    <t xml:space="preserve"> Oper. Temp., Sat.</t>
  </si>
  <si>
    <t>Feed Water</t>
  </si>
  <si>
    <t>A 516-70N</t>
  </si>
  <si>
    <t>Feed Water</t>
  </si>
  <si>
    <t>deg</t>
  </si>
  <si>
    <t>Δzci</t>
  </si>
  <si>
    <t>Δzco</t>
  </si>
  <si>
    <t>HP Heater #8</t>
  </si>
  <si>
    <t>1FW004A,  2FW004A</t>
  </si>
  <si>
    <t>A 387 11 CL.2</t>
  </si>
  <si>
    <t>***</t>
  </si>
  <si>
    <t>2014.   1.   1.</t>
  </si>
  <si>
    <t>2015.   1.   10.</t>
  </si>
  <si>
    <t xml:space="preserve"> NTES</t>
  </si>
  <si>
    <t xml:space="preserve">Narai Thermal Enginering Services 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</si>
</sst>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#,##0_ "/>
    <numFmt numFmtId="184" formatCode="0_ "/>
  </numFmts>
  <fonts count="14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돋움"/>
      <family val="3"/>
    </font>
    <font>
      <sz val="8"/>
      <color indexed="12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4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182" fontId="3" fillId="0" borderId="0" xfId="0" applyNumberFormat="1" applyFont="1" applyBorder="1" applyAlignment="1">
      <alignment horizontal="center"/>
    </xf>
    <xf numFmtId="182" fontId="3" fillId="0" borderId="19" xfId="0" applyNumberFormat="1" applyFont="1" applyBorder="1" applyAlignment="1">
      <alignment horizontal="center"/>
    </xf>
    <xf numFmtId="183" fontId="2" fillId="0" borderId="13" xfId="0" applyNumberFormat="1" applyFont="1" applyBorder="1" applyAlignment="1">
      <alignment/>
    </xf>
    <xf numFmtId="183" fontId="2" fillId="0" borderId="9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182" fontId="3" fillId="0" borderId="9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182" fontId="2" fillId="0" borderId="5" xfId="0" applyNumberFormat="1" applyFont="1" applyBorder="1" applyAlignment="1">
      <alignment/>
    </xf>
    <xf numFmtId="182" fontId="3" fillId="0" borderId="24" xfId="0" applyNumberFormat="1" applyFont="1" applyBorder="1" applyAlignment="1">
      <alignment/>
    </xf>
    <xf numFmtId="183" fontId="2" fillId="0" borderId="24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82" fontId="3" fillId="0" borderId="24" xfId="0" applyNumberFormat="1" applyFont="1" applyBorder="1" applyAlignment="1">
      <alignment horizontal="right"/>
    </xf>
    <xf numFmtId="0" fontId="2" fillId="0" borderId="22" xfId="0" applyFont="1" applyBorder="1" applyAlignment="1">
      <alignment vertical="center"/>
    </xf>
    <xf numFmtId="183" fontId="2" fillId="0" borderId="3" xfId="0" applyNumberFormat="1" applyFont="1" applyBorder="1" applyAlignment="1">
      <alignment horizontal="center"/>
    </xf>
    <xf numFmtId="183" fontId="2" fillId="0" borderId="5" xfId="0" applyNumberFormat="1" applyFont="1" applyBorder="1" applyAlignment="1">
      <alignment horizontal="center"/>
    </xf>
    <xf numFmtId="182" fontId="2" fillId="0" borderId="5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3" fontId="2" fillId="0" borderId="1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right"/>
    </xf>
    <xf numFmtId="182" fontId="3" fillId="0" borderId="6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3" fontId="2" fillId="0" borderId="9" xfId="0" applyNumberFormat="1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182" fontId="3" fillId="0" borderId="9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9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center"/>
    </xf>
    <xf numFmtId="181" fontId="3" fillId="0" borderId="9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1" fontId="3" fillId="0" borderId="5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83" fontId="7" fillId="0" borderId="20" xfId="0" applyNumberFormat="1" applyFont="1" applyBorder="1" applyAlignment="1">
      <alignment horizontal="right" vertical="center" textRotation="90"/>
    </xf>
    <xf numFmtId="183" fontId="2" fillId="0" borderId="0" xfId="0" applyNumberFormat="1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right" vertical="center" textRotation="9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2" fontId="2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11" fontId="2" fillId="0" borderId="9" xfId="0" applyNumberFormat="1" applyFont="1" applyBorder="1" applyAlignment="1">
      <alignment horizontal="center"/>
    </xf>
    <xf numFmtId="183" fontId="3" fillId="0" borderId="9" xfId="0" applyNumberFormat="1" applyFont="1" applyBorder="1" applyAlignment="1">
      <alignment horizontal="right"/>
    </xf>
    <xf numFmtId="1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3" fontId="3" fillId="0" borderId="13" xfId="0" applyNumberFormat="1" applyFont="1" applyBorder="1" applyAlignment="1">
      <alignment horizontal="right"/>
    </xf>
    <xf numFmtId="183" fontId="3" fillId="0" borderId="19" xfId="0" applyNumberFormat="1" applyFont="1" applyBorder="1" applyAlignment="1">
      <alignment horizontal="center"/>
    </xf>
    <xf numFmtId="11" fontId="3" fillId="0" borderId="24" xfId="0" applyNumberFormat="1" applyFont="1" applyBorder="1" applyAlignment="1">
      <alignment horizontal="center"/>
    </xf>
    <xf numFmtId="11" fontId="3" fillId="0" borderId="25" xfId="0" applyNumberFormat="1" applyFont="1" applyBorder="1" applyAlignment="1">
      <alignment horizontal="center"/>
    </xf>
    <xf numFmtId="183" fontId="3" fillId="0" borderId="2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7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18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.emf" /><Relationship Id="rId3" Type="http://schemas.openxmlformats.org/officeDocument/2006/relationships/image" Target="../media/image17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8.emf" /><Relationship Id="rId10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9.emf" /><Relationship Id="rId3" Type="http://schemas.openxmlformats.org/officeDocument/2006/relationships/image" Target="../media/image28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Relationship Id="rId6" Type="http://schemas.openxmlformats.org/officeDocument/2006/relationships/image" Target="../media/image3.emf" /><Relationship Id="rId7" Type="http://schemas.openxmlformats.org/officeDocument/2006/relationships/image" Target="../media/image50.emf" /><Relationship Id="rId8" Type="http://schemas.openxmlformats.org/officeDocument/2006/relationships/image" Target="../media/image30.emf" /><Relationship Id="rId9" Type="http://schemas.openxmlformats.org/officeDocument/2006/relationships/image" Target="../media/image20.emf" /><Relationship Id="rId10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33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Relationship Id="rId5" Type="http://schemas.openxmlformats.org/officeDocument/2006/relationships/image" Target="../media/image36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39.emf" /><Relationship Id="rId9" Type="http://schemas.openxmlformats.org/officeDocument/2006/relationships/image" Target="../media/image41.emf" /><Relationship Id="rId10" Type="http://schemas.openxmlformats.org/officeDocument/2006/relationships/image" Target="../media/image4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Relationship Id="rId3" Type="http://schemas.openxmlformats.org/officeDocument/2006/relationships/image" Target="../media/image45.emf" /><Relationship Id="rId4" Type="http://schemas.openxmlformats.org/officeDocument/2006/relationships/image" Target="../media/image46.emf" /><Relationship Id="rId5" Type="http://schemas.openxmlformats.org/officeDocument/2006/relationships/image" Target="../media/image47.emf" /><Relationship Id="rId6" Type="http://schemas.openxmlformats.org/officeDocument/2006/relationships/image" Target="../media/image11.emf" /><Relationship Id="rId7" Type="http://schemas.openxmlformats.org/officeDocument/2006/relationships/image" Target="../media/image51.emf" /><Relationship Id="rId8" Type="http://schemas.openxmlformats.org/officeDocument/2006/relationships/image" Target="../media/image52.emf" /><Relationship Id="rId9" Type="http://schemas.openxmlformats.org/officeDocument/2006/relationships/image" Target="../media/image53.emf" /><Relationship Id="rId10" Type="http://schemas.openxmlformats.org/officeDocument/2006/relationships/image" Target="../media/image5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56.emf" /><Relationship Id="rId3" Type="http://schemas.openxmlformats.org/officeDocument/2006/relationships/image" Target="../media/image57.emf" /><Relationship Id="rId4" Type="http://schemas.openxmlformats.org/officeDocument/2006/relationships/image" Target="../media/image58.emf" /><Relationship Id="rId5" Type="http://schemas.openxmlformats.org/officeDocument/2006/relationships/image" Target="../media/image59.emf" /><Relationship Id="rId6" Type="http://schemas.openxmlformats.org/officeDocument/2006/relationships/image" Target="../media/image60.emf" /><Relationship Id="rId7" Type="http://schemas.openxmlformats.org/officeDocument/2006/relationships/image" Target="../media/image61.emf" /><Relationship Id="rId8" Type="http://schemas.openxmlformats.org/officeDocument/2006/relationships/image" Target="../media/image62.emf" /><Relationship Id="rId9" Type="http://schemas.openxmlformats.org/officeDocument/2006/relationships/image" Target="../media/image63.emf" /><Relationship Id="rId10" Type="http://schemas.openxmlformats.org/officeDocument/2006/relationships/image" Target="../media/image6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6.emf" /><Relationship Id="rId3" Type="http://schemas.openxmlformats.org/officeDocument/2006/relationships/image" Target="../media/image67.emf" /><Relationship Id="rId4" Type="http://schemas.openxmlformats.org/officeDocument/2006/relationships/image" Target="../media/image68.emf" /><Relationship Id="rId5" Type="http://schemas.openxmlformats.org/officeDocument/2006/relationships/image" Target="../media/image69.emf" /><Relationship Id="rId6" Type="http://schemas.openxmlformats.org/officeDocument/2006/relationships/image" Target="../media/image48.emf" /><Relationship Id="rId7" Type="http://schemas.openxmlformats.org/officeDocument/2006/relationships/image" Target="../media/image49.emf" /><Relationship Id="rId8" Type="http://schemas.openxmlformats.org/officeDocument/2006/relationships/image" Target="../media/image40.emf" /><Relationship Id="rId9" Type="http://schemas.openxmlformats.org/officeDocument/2006/relationships/image" Target="../media/image2.emf" /><Relationship Id="rId10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0</xdr:colOff>
      <xdr:row>13</xdr:row>
      <xdr:rowOff>0</xdr:rowOff>
    </xdr:from>
    <xdr:to>
      <xdr:col>29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29</xdr:row>
      <xdr:rowOff>0</xdr:rowOff>
    </xdr:from>
    <xdr:to>
      <xdr:col>8</xdr:col>
      <xdr:colOff>209550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14337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0</xdr:rowOff>
    </xdr:from>
    <xdr:to>
      <xdr:col>16</xdr:col>
      <xdr:colOff>219075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143375"/>
          <a:ext cx="237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" name="Line 16"/>
        <xdr:cNvSpPr>
          <a:spLocks/>
        </xdr:cNvSpPr>
      </xdr:nvSpPr>
      <xdr:spPr>
        <a:xfrm>
          <a:off x="12954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17"/>
        <xdr:cNvSpPr>
          <a:spLocks/>
        </xdr:cNvSpPr>
      </xdr:nvSpPr>
      <xdr:spPr>
        <a:xfrm>
          <a:off x="1295400" y="328612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Line 22"/>
        <xdr:cNvSpPr>
          <a:spLocks/>
        </xdr:cNvSpPr>
      </xdr:nvSpPr>
      <xdr:spPr>
        <a:xfrm flipH="1">
          <a:off x="2057400" y="3286125"/>
          <a:ext cx="409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161925</xdr:colOff>
      <xdr:row>29</xdr:row>
      <xdr:rowOff>0</xdr:rowOff>
    </xdr:to>
    <xdr:sp>
      <xdr:nvSpPr>
        <xdr:cNvPr id="15" name="Arc 27"/>
        <xdr:cNvSpPr>
          <a:spLocks/>
        </xdr:cNvSpPr>
      </xdr:nvSpPr>
      <xdr:spPr>
        <a:xfrm>
          <a:off x="6153150" y="3286125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114300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6" name="Line 28"/>
        <xdr:cNvSpPr>
          <a:spLocks/>
        </xdr:cNvSpPr>
      </xdr:nvSpPr>
      <xdr:spPr>
        <a:xfrm>
          <a:off x="5619750" y="41433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219075</xdr:colOff>
      <xdr:row>28</xdr:row>
      <xdr:rowOff>95250</xdr:rowOff>
    </xdr:from>
    <xdr:to>
      <xdr:col>9</xdr:col>
      <xdr:colOff>114300</xdr:colOff>
      <xdr:row>31</xdr:row>
      <xdr:rowOff>0</xdr:rowOff>
    </xdr:to>
    <xdr:grpSp>
      <xdr:nvGrpSpPr>
        <xdr:cNvPr id="17" name="Group 41"/>
        <xdr:cNvGrpSpPr>
          <a:grpSpLocks/>
        </xdr:cNvGrpSpPr>
      </xdr:nvGrpSpPr>
      <xdr:grpSpPr>
        <a:xfrm>
          <a:off x="28098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18" name="Line 42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43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Line 44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AutoShape 45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28</xdr:row>
      <xdr:rowOff>95250</xdr:rowOff>
    </xdr:from>
    <xdr:to>
      <xdr:col>17</xdr:col>
      <xdr:colOff>114300</xdr:colOff>
      <xdr:row>31</xdr:row>
      <xdr:rowOff>0</xdr:rowOff>
    </xdr:to>
    <xdr:grpSp>
      <xdr:nvGrpSpPr>
        <xdr:cNvPr id="22" name="Group 46"/>
        <xdr:cNvGrpSpPr>
          <a:grpSpLocks/>
        </xdr:cNvGrpSpPr>
      </xdr:nvGrpSpPr>
      <xdr:grpSpPr>
        <a:xfrm>
          <a:off x="54006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23" name="Line 47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48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49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AutoShape 50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23</xdr:row>
      <xdr:rowOff>0</xdr:rowOff>
    </xdr:from>
    <xdr:to>
      <xdr:col>4</xdr:col>
      <xdr:colOff>0</xdr:colOff>
      <xdr:row>29</xdr:row>
      <xdr:rowOff>0</xdr:rowOff>
    </xdr:to>
    <xdr:sp>
      <xdr:nvSpPr>
        <xdr:cNvPr id="27" name="Arc 67"/>
        <xdr:cNvSpPr>
          <a:spLocks/>
        </xdr:cNvSpPr>
      </xdr:nvSpPr>
      <xdr:spPr>
        <a:xfrm flipH="1">
          <a:off x="1095375" y="3286125"/>
          <a:ext cx="2000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69"/>
        <xdr:cNvSpPr>
          <a:spLocks/>
        </xdr:cNvSpPr>
      </xdr:nvSpPr>
      <xdr:spPr>
        <a:xfrm flipH="1">
          <a:off x="1095375" y="3714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114300</xdr:colOff>
      <xdr:row>29</xdr:row>
      <xdr:rowOff>0</xdr:rowOff>
    </xdr:to>
    <xdr:sp>
      <xdr:nvSpPr>
        <xdr:cNvPr id="29" name="Rectangle 85"/>
        <xdr:cNvSpPr>
          <a:spLocks/>
        </xdr:cNvSpPr>
      </xdr:nvSpPr>
      <xdr:spPr>
        <a:xfrm>
          <a:off x="1943100" y="3286125"/>
          <a:ext cx="11430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0</xdr:rowOff>
    </xdr:from>
    <xdr:to>
      <xdr:col>5</xdr:col>
      <xdr:colOff>114300</xdr:colOff>
      <xdr:row>23</xdr:row>
      <xdr:rowOff>0</xdr:rowOff>
    </xdr:to>
    <xdr:sp>
      <xdr:nvSpPr>
        <xdr:cNvPr id="30" name="Rectangle 99"/>
        <xdr:cNvSpPr>
          <a:spLocks/>
        </xdr:cNvSpPr>
      </xdr:nvSpPr>
      <xdr:spPr>
        <a:xfrm>
          <a:off x="14954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5</xdr:col>
      <xdr:colOff>114300</xdr:colOff>
      <xdr:row>30</xdr:row>
      <xdr:rowOff>0</xdr:rowOff>
    </xdr:to>
    <xdr:sp>
      <xdr:nvSpPr>
        <xdr:cNvPr id="31" name="Rectangle 101"/>
        <xdr:cNvSpPr>
          <a:spLocks/>
        </xdr:cNvSpPr>
      </xdr:nvSpPr>
      <xdr:spPr>
        <a:xfrm>
          <a:off x="1495425" y="414337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18</xdr:col>
      <xdr:colOff>114300</xdr:colOff>
      <xdr:row>23</xdr:row>
      <xdr:rowOff>0</xdr:rowOff>
    </xdr:to>
    <xdr:sp>
      <xdr:nvSpPr>
        <xdr:cNvPr id="32" name="Rectangle 102"/>
        <xdr:cNvSpPr>
          <a:spLocks/>
        </xdr:cNvSpPr>
      </xdr:nvSpPr>
      <xdr:spPr>
        <a:xfrm>
          <a:off x="57054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200025</xdr:colOff>
      <xdr:row>22</xdr:row>
      <xdr:rowOff>0</xdr:rowOff>
    </xdr:from>
    <xdr:to>
      <xdr:col>12</xdr:col>
      <xdr:colOff>114300</xdr:colOff>
      <xdr:row>23</xdr:row>
      <xdr:rowOff>0</xdr:rowOff>
    </xdr:to>
    <xdr:sp>
      <xdr:nvSpPr>
        <xdr:cNvPr id="33" name="Rectangle 103"/>
        <xdr:cNvSpPr>
          <a:spLocks/>
        </xdr:cNvSpPr>
      </xdr:nvSpPr>
      <xdr:spPr>
        <a:xfrm>
          <a:off x="37623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209550</xdr:colOff>
      <xdr:row>29</xdr:row>
      <xdr:rowOff>0</xdr:rowOff>
    </xdr:from>
    <xdr:to>
      <xdr:col>12</xdr:col>
      <xdr:colOff>123825</xdr:colOff>
      <xdr:row>30</xdr:row>
      <xdr:rowOff>0</xdr:rowOff>
    </xdr:to>
    <xdr:sp>
      <xdr:nvSpPr>
        <xdr:cNvPr id="34" name="Rectangle 105"/>
        <xdr:cNvSpPr>
          <a:spLocks/>
        </xdr:cNvSpPr>
      </xdr:nvSpPr>
      <xdr:spPr>
        <a:xfrm>
          <a:off x="3771900" y="414337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5" name="Line 106"/>
        <xdr:cNvSpPr>
          <a:spLocks/>
        </xdr:cNvSpPr>
      </xdr:nvSpPr>
      <xdr:spPr>
        <a:xfrm>
          <a:off x="2914650" y="41433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29</xdr:row>
      <xdr:rowOff>0</xdr:rowOff>
    </xdr:to>
    <xdr:sp>
      <xdr:nvSpPr>
        <xdr:cNvPr id="36" name="Line 107"/>
        <xdr:cNvSpPr>
          <a:spLocks/>
        </xdr:cNvSpPr>
      </xdr:nvSpPr>
      <xdr:spPr>
        <a:xfrm flipV="1">
          <a:off x="2914650" y="33147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0</xdr:colOff>
      <xdr:row>25</xdr:row>
      <xdr:rowOff>19050</xdr:rowOff>
    </xdr:to>
    <xdr:sp>
      <xdr:nvSpPr>
        <xdr:cNvPr id="37" name="Rectangle 108"/>
        <xdr:cNvSpPr>
          <a:spLocks/>
        </xdr:cNvSpPr>
      </xdr:nvSpPr>
      <xdr:spPr>
        <a:xfrm>
          <a:off x="2590800" y="3448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28</xdr:row>
      <xdr:rowOff>0</xdr:rowOff>
    </xdr:from>
    <xdr:to>
      <xdr:col>10</xdr:col>
      <xdr:colOff>209550</xdr:colOff>
      <xdr:row>29</xdr:row>
      <xdr:rowOff>0</xdr:rowOff>
    </xdr:to>
    <xdr:sp>
      <xdr:nvSpPr>
        <xdr:cNvPr id="38" name="Rectangle 109"/>
        <xdr:cNvSpPr>
          <a:spLocks/>
        </xdr:cNvSpPr>
      </xdr:nvSpPr>
      <xdr:spPr>
        <a:xfrm>
          <a:off x="3124200" y="40005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39" name="Line 110"/>
        <xdr:cNvSpPr>
          <a:spLocks/>
        </xdr:cNvSpPr>
      </xdr:nvSpPr>
      <xdr:spPr>
        <a:xfrm>
          <a:off x="2914650" y="48577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0</xdr:rowOff>
    </xdr:from>
    <xdr:to>
      <xdr:col>11</xdr:col>
      <xdr:colOff>76200</xdr:colOff>
      <xdr:row>30</xdr:row>
      <xdr:rowOff>0</xdr:rowOff>
    </xdr:to>
    <xdr:sp>
      <xdr:nvSpPr>
        <xdr:cNvPr id="40" name="Rectangle 111"/>
        <xdr:cNvSpPr>
          <a:spLocks/>
        </xdr:cNvSpPr>
      </xdr:nvSpPr>
      <xdr:spPr>
        <a:xfrm>
          <a:off x="2343150" y="41433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1" name="Rectangle 112"/>
        <xdr:cNvSpPr>
          <a:spLocks/>
        </xdr:cNvSpPr>
      </xdr:nvSpPr>
      <xdr:spPr>
        <a:xfrm>
          <a:off x="25908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42" name="Rectangle 114"/>
        <xdr:cNvSpPr>
          <a:spLocks/>
        </xdr:cNvSpPr>
      </xdr:nvSpPr>
      <xdr:spPr>
        <a:xfrm>
          <a:off x="51816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15</xdr:col>
      <xdr:colOff>0</xdr:colOff>
      <xdr:row>28</xdr:row>
      <xdr:rowOff>104775</xdr:rowOff>
    </xdr:to>
    <xdr:sp>
      <xdr:nvSpPr>
        <xdr:cNvPr id="43" name="Line 115"/>
        <xdr:cNvSpPr>
          <a:spLocks/>
        </xdr:cNvSpPr>
      </xdr:nvSpPr>
      <xdr:spPr>
        <a:xfrm>
          <a:off x="485775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44" name="Line 116"/>
        <xdr:cNvSpPr>
          <a:spLocks/>
        </xdr:cNvSpPr>
      </xdr:nvSpPr>
      <xdr:spPr>
        <a:xfrm>
          <a:off x="518160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23</xdr:row>
      <xdr:rowOff>28575</xdr:rowOff>
    </xdr:from>
    <xdr:to>
      <xdr:col>15</xdr:col>
      <xdr:colOff>57150</xdr:colOff>
      <xdr:row>23</xdr:row>
      <xdr:rowOff>28575</xdr:rowOff>
    </xdr:to>
    <xdr:sp>
      <xdr:nvSpPr>
        <xdr:cNvPr id="45" name="Line 117"/>
        <xdr:cNvSpPr>
          <a:spLocks/>
        </xdr:cNvSpPr>
      </xdr:nvSpPr>
      <xdr:spPr>
        <a:xfrm>
          <a:off x="4791075" y="3314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104775</xdr:rowOff>
    </xdr:from>
    <xdr:to>
      <xdr:col>15</xdr:col>
      <xdr:colOff>85725</xdr:colOff>
      <xdr:row>28</xdr:row>
      <xdr:rowOff>104775</xdr:rowOff>
    </xdr:to>
    <xdr:sp>
      <xdr:nvSpPr>
        <xdr:cNvPr id="46" name="Line 119"/>
        <xdr:cNvSpPr>
          <a:spLocks/>
        </xdr:cNvSpPr>
      </xdr:nvSpPr>
      <xdr:spPr>
        <a:xfrm>
          <a:off x="479107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47" name="Line 120"/>
        <xdr:cNvSpPr>
          <a:spLocks/>
        </xdr:cNvSpPr>
      </xdr:nvSpPr>
      <xdr:spPr>
        <a:xfrm>
          <a:off x="48577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142875</xdr:colOff>
      <xdr:row>22</xdr:row>
      <xdr:rowOff>0</xdr:rowOff>
    </xdr:to>
    <xdr:sp>
      <xdr:nvSpPr>
        <xdr:cNvPr id="48" name="Line 121"/>
        <xdr:cNvSpPr>
          <a:spLocks/>
        </xdr:cNvSpPr>
      </xdr:nvSpPr>
      <xdr:spPr>
        <a:xfrm flipH="1">
          <a:off x="1295400" y="314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142875</xdr:colOff>
      <xdr:row>30</xdr:row>
      <xdr:rowOff>0</xdr:rowOff>
    </xdr:to>
    <xdr:sp>
      <xdr:nvSpPr>
        <xdr:cNvPr id="49" name="Line 122"/>
        <xdr:cNvSpPr>
          <a:spLocks/>
        </xdr:cNvSpPr>
      </xdr:nvSpPr>
      <xdr:spPr>
        <a:xfrm flipH="1">
          <a:off x="1295400" y="4286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50" name="Line 124"/>
        <xdr:cNvSpPr>
          <a:spLocks/>
        </xdr:cNvSpPr>
      </xdr:nvSpPr>
      <xdr:spPr>
        <a:xfrm>
          <a:off x="4057650" y="3143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51" name="Line 125"/>
        <xdr:cNvSpPr>
          <a:spLocks/>
        </xdr:cNvSpPr>
      </xdr:nvSpPr>
      <xdr:spPr>
        <a:xfrm>
          <a:off x="4086225" y="4286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161925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52" name="Line 126"/>
        <xdr:cNvSpPr>
          <a:spLocks/>
        </xdr:cNvSpPr>
      </xdr:nvSpPr>
      <xdr:spPr>
        <a:xfrm>
          <a:off x="599122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0</xdr:rowOff>
    </xdr:from>
    <xdr:to>
      <xdr:col>4</xdr:col>
      <xdr:colOff>38100</xdr:colOff>
      <xdr:row>23</xdr:row>
      <xdr:rowOff>0</xdr:rowOff>
    </xdr:to>
    <xdr:sp>
      <xdr:nvSpPr>
        <xdr:cNvPr id="53" name="Line 127"/>
        <xdr:cNvSpPr>
          <a:spLocks/>
        </xdr:cNvSpPr>
      </xdr:nvSpPr>
      <xdr:spPr>
        <a:xfrm flipV="1">
          <a:off x="13335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38100</xdr:colOff>
      <xdr:row>30</xdr:row>
      <xdr:rowOff>0</xdr:rowOff>
    </xdr:to>
    <xdr:sp>
      <xdr:nvSpPr>
        <xdr:cNvPr id="54" name="Line 128"/>
        <xdr:cNvSpPr>
          <a:spLocks/>
        </xdr:cNvSpPr>
      </xdr:nvSpPr>
      <xdr:spPr>
        <a:xfrm flipV="1">
          <a:off x="1333500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285750</xdr:colOff>
      <xdr:row>29</xdr:row>
      <xdr:rowOff>0</xdr:rowOff>
    </xdr:from>
    <xdr:to>
      <xdr:col>12</xdr:col>
      <xdr:colOff>285750</xdr:colOff>
      <xdr:row>30</xdr:row>
      <xdr:rowOff>0</xdr:rowOff>
    </xdr:to>
    <xdr:sp>
      <xdr:nvSpPr>
        <xdr:cNvPr id="55" name="Line 130"/>
        <xdr:cNvSpPr>
          <a:spLocks/>
        </xdr:cNvSpPr>
      </xdr:nvSpPr>
      <xdr:spPr>
        <a:xfrm flipV="1">
          <a:off x="4171950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285750</xdr:colOff>
      <xdr:row>22</xdr:row>
      <xdr:rowOff>0</xdr:rowOff>
    </xdr:from>
    <xdr:to>
      <xdr:col>12</xdr:col>
      <xdr:colOff>285750</xdr:colOff>
      <xdr:row>23</xdr:row>
      <xdr:rowOff>0</xdr:rowOff>
    </xdr:to>
    <xdr:sp>
      <xdr:nvSpPr>
        <xdr:cNvPr id="56" name="Line 131"/>
        <xdr:cNvSpPr>
          <a:spLocks/>
        </xdr:cNvSpPr>
      </xdr:nvSpPr>
      <xdr:spPr>
        <a:xfrm flipV="1">
          <a:off x="41719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285750</xdr:colOff>
      <xdr:row>22</xdr:row>
      <xdr:rowOff>0</xdr:rowOff>
    </xdr:from>
    <xdr:to>
      <xdr:col>18</xdr:col>
      <xdr:colOff>285750</xdr:colOff>
      <xdr:row>23</xdr:row>
      <xdr:rowOff>0</xdr:rowOff>
    </xdr:to>
    <xdr:sp>
      <xdr:nvSpPr>
        <xdr:cNvPr id="57" name="Line 132"/>
        <xdr:cNvSpPr>
          <a:spLocks/>
        </xdr:cNvSpPr>
      </xdr:nvSpPr>
      <xdr:spPr>
        <a:xfrm flipV="1">
          <a:off x="61150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8" name="Line 133"/>
        <xdr:cNvSpPr>
          <a:spLocks/>
        </xdr:cNvSpPr>
      </xdr:nvSpPr>
      <xdr:spPr>
        <a:xfrm flipH="1"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30</xdr:row>
      <xdr:rowOff>0</xdr:rowOff>
    </xdr:to>
    <xdr:sp>
      <xdr:nvSpPr>
        <xdr:cNvPr id="59" name="Line 134"/>
        <xdr:cNvSpPr>
          <a:spLocks/>
        </xdr:cNvSpPr>
      </xdr:nvSpPr>
      <xdr:spPr>
        <a:xfrm>
          <a:off x="1619250" y="31432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23</xdr:row>
      <xdr:rowOff>47625</xdr:rowOff>
    </xdr:to>
    <xdr:sp>
      <xdr:nvSpPr>
        <xdr:cNvPr id="60" name="Line 135"/>
        <xdr:cNvSpPr>
          <a:spLocks/>
        </xdr:cNvSpPr>
      </xdr:nvSpPr>
      <xdr:spPr>
        <a:xfrm>
          <a:off x="388620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95250</xdr:rowOff>
    </xdr:from>
    <xdr:to>
      <xdr:col>12</xdr:col>
      <xdr:colOff>0</xdr:colOff>
      <xdr:row>30</xdr:row>
      <xdr:rowOff>0</xdr:rowOff>
    </xdr:to>
    <xdr:sp>
      <xdr:nvSpPr>
        <xdr:cNvPr id="61" name="Line 136"/>
        <xdr:cNvSpPr>
          <a:spLocks/>
        </xdr:cNvSpPr>
      </xdr:nvSpPr>
      <xdr:spPr>
        <a:xfrm>
          <a:off x="3886200" y="4095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23</xdr:row>
      <xdr:rowOff>38100</xdr:rowOff>
    </xdr:to>
    <xdr:sp>
      <xdr:nvSpPr>
        <xdr:cNvPr id="62" name="Line 138"/>
        <xdr:cNvSpPr>
          <a:spLocks/>
        </xdr:cNvSpPr>
      </xdr:nvSpPr>
      <xdr:spPr>
        <a:xfrm>
          <a:off x="582930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3" name="Line 139"/>
        <xdr:cNvSpPr>
          <a:spLocks/>
        </xdr:cNvSpPr>
      </xdr:nvSpPr>
      <xdr:spPr>
        <a:xfrm>
          <a:off x="1943100" y="371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64" name="Line 140"/>
        <xdr:cNvSpPr>
          <a:spLocks/>
        </xdr:cNvSpPr>
      </xdr:nvSpPr>
      <xdr:spPr>
        <a:xfrm>
          <a:off x="29146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65" name="Line 141"/>
        <xdr:cNvSpPr>
          <a:spLocks/>
        </xdr:cNvSpPr>
      </xdr:nvSpPr>
      <xdr:spPr>
        <a:xfrm>
          <a:off x="2914650" y="4000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38100</xdr:rowOff>
    </xdr:to>
    <xdr:sp>
      <xdr:nvSpPr>
        <xdr:cNvPr id="66" name="Line 142"/>
        <xdr:cNvSpPr>
          <a:spLocks/>
        </xdr:cNvSpPr>
      </xdr:nvSpPr>
      <xdr:spPr>
        <a:xfrm flipV="1">
          <a:off x="2914650" y="4286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57150</xdr:rowOff>
    </xdr:from>
    <xdr:to>
      <xdr:col>17</xdr:col>
      <xdr:colOff>0</xdr:colOff>
      <xdr:row>31</xdr:row>
      <xdr:rowOff>47625</xdr:rowOff>
    </xdr:to>
    <xdr:sp>
      <xdr:nvSpPr>
        <xdr:cNvPr id="67" name="Line 143"/>
        <xdr:cNvSpPr>
          <a:spLocks/>
        </xdr:cNvSpPr>
      </xdr:nvSpPr>
      <xdr:spPr>
        <a:xfrm flipV="1">
          <a:off x="5505450" y="4057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68" name="Line 144"/>
        <xdr:cNvSpPr>
          <a:spLocks/>
        </xdr:cNvSpPr>
      </xdr:nvSpPr>
      <xdr:spPr>
        <a:xfrm>
          <a:off x="550545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66675</xdr:rowOff>
    </xdr:from>
    <xdr:to>
      <xdr:col>18</xdr:col>
      <xdr:colOff>0</xdr:colOff>
      <xdr:row>24</xdr:row>
      <xdr:rowOff>28575</xdr:rowOff>
    </xdr:to>
    <xdr:sp>
      <xdr:nvSpPr>
        <xdr:cNvPr id="69" name="Line 145"/>
        <xdr:cNvSpPr>
          <a:spLocks/>
        </xdr:cNvSpPr>
      </xdr:nvSpPr>
      <xdr:spPr>
        <a:xfrm>
          <a:off x="5829300" y="3352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85725</xdr:rowOff>
    </xdr:from>
    <xdr:to>
      <xdr:col>12</xdr:col>
      <xdr:colOff>0</xdr:colOff>
      <xdr:row>24</xdr:row>
      <xdr:rowOff>38100</xdr:rowOff>
    </xdr:to>
    <xdr:sp>
      <xdr:nvSpPr>
        <xdr:cNvPr id="70" name="Line 146"/>
        <xdr:cNvSpPr>
          <a:spLocks/>
        </xdr:cNvSpPr>
      </xdr:nvSpPr>
      <xdr:spPr>
        <a:xfrm>
          <a:off x="388620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95250</xdr:rowOff>
    </xdr:from>
    <xdr:to>
      <xdr:col>17</xdr:col>
      <xdr:colOff>0</xdr:colOff>
      <xdr:row>28</xdr:row>
      <xdr:rowOff>19050</xdr:rowOff>
    </xdr:to>
    <xdr:sp>
      <xdr:nvSpPr>
        <xdr:cNvPr id="71" name="Line 149"/>
        <xdr:cNvSpPr>
          <a:spLocks/>
        </xdr:cNvSpPr>
      </xdr:nvSpPr>
      <xdr:spPr>
        <a:xfrm>
          <a:off x="5505450" y="33813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95250</xdr:rowOff>
    </xdr:from>
    <xdr:to>
      <xdr:col>12</xdr:col>
      <xdr:colOff>0</xdr:colOff>
      <xdr:row>28</xdr:row>
      <xdr:rowOff>66675</xdr:rowOff>
    </xdr:to>
    <xdr:sp>
      <xdr:nvSpPr>
        <xdr:cNvPr id="72" name="Line 150"/>
        <xdr:cNvSpPr>
          <a:spLocks/>
        </xdr:cNvSpPr>
      </xdr:nvSpPr>
      <xdr:spPr>
        <a:xfrm>
          <a:off x="3886200" y="3952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95250</xdr:rowOff>
    </xdr:from>
    <xdr:to>
      <xdr:col>9</xdr:col>
      <xdr:colOff>0</xdr:colOff>
      <xdr:row>34</xdr:row>
      <xdr:rowOff>38100</xdr:rowOff>
    </xdr:to>
    <xdr:sp>
      <xdr:nvSpPr>
        <xdr:cNvPr id="73" name="Line 151"/>
        <xdr:cNvSpPr>
          <a:spLocks/>
        </xdr:cNvSpPr>
      </xdr:nvSpPr>
      <xdr:spPr>
        <a:xfrm>
          <a:off x="2914650" y="4524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76200</xdr:rowOff>
    </xdr:from>
    <xdr:to>
      <xdr:col>17</xdr:col>
      <xdr:colOff>0</xdr:colOff>
      <xdr:row>34</xdr:row>
      <xdr:rowOff>28575</xdr:rowOff>
    </xdr:to>
    <xdr:sp>
      <xdr:nvSpPr>
        <xdr:cNvPr id="74" name="Line 152"/>
        <xdr:cNvSpPr>
          <a:spLocks/>
        </xdr:cNvSpPr>
      </xdr:nvSpPr>
      <xdr:spPr>
        <a:xfrm>
          <a:off x="5505450" y="4791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104775</xdr:rowOff>
    </xdr:from>
    <xdr:to>
      <xdr:col>5</xdr:col>
      <xdr:colOff>28575</xdr:colOff>
      <xdr:row>22</xdr:row>
      <xdr:rowOff>28575</xdr:rowOff>
    </xdr:to>
    <xdr:sp>
      <xdr:nvSpPr>
        <xdr:cNvPr id="75" name="Oval 154"/>
        <xdr:cNvSpPr>
          <a:spLocks/>
        </xdr:cNvSpPr>
      </xdr:nvSpPr>
      <xdr:spPr>
        <a:xfrm>
          <a:off x="15906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5</xdr:col>
      <xdr:colOff>28575</xdr:colOff>
      <xdr:row>30</xdr:row>
      <xdr:rowOff>28575</xdr:rowOff>
    </xdr:to>
    <xdr:sp>
      <xdr:nvSpPr>
        <xdr:cNvPr id="76" name="Oval 161"/>
        <xdr:cNvSpPr>
          <a:spLocks/>
        </xdr:cNvSpPr>
      </xdr:nvSpPr>
      <xdr:spPr>
        <a:xfrm>
          <a:off x="15906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295275</xdr:colOff>
      <xdr:row>21</xdr:row>
      <xdr:rowOff>104775</xdr:rowOff>
    </xdr:from>
    <xdr:to>
      <xdr:col>12</xdr:col>
      <xdr:colOff>28575</xdr:colOff>
      <xdr:row>22</xdr:row>
      <xdr:rowOff>28575</xdr:rowOff>
    </xdr:to>
    <xdr:sp>
      <xdr:nvSpPr>
        <xdr:cNvPr id="77" name="Oval 162"/>
        <xdr:cNvSpPr>
          <a:spLocks/>
        </xdr:cNvSpPr>
      </xdr:nvSpPr>
      <xdr:spPr>
        <a:xfrm>
          <a:off x="385762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295275</xdr:colOff>
      <xdr:row>29</xdr:row>
      <xdr:rowOff>104775</xdr:rowOff>
    </xdr:from>
    <xdr:to>
      <xdr:col>12</xdr:col>
      <xdr:colOff>28575</xdr:colOff>
      <xdr:row>30</xdr:row>
      <xdr:rowOff>28575</xdr:rowOff>
    </xdr:to>
    <xdr:sp>
      <xdr:nvSpPr>
        <xdr:cNvPr id="78" name="Oval 164"/>
        <xdr:cNvSpPr>
          <a:spLocks/>
        </xdr:cNvSpPr>
      </xdr:nvSpPr>
      <xdr:spPr>
        <a:xfrm>
          <a:off x="385762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21</xdr:row>
      <xdr:rowOff>104775</xdr:rowOff>
    </xdr:from>
    <xdr:to>
      <xdr:col>18</xdr:col>
      <xdr:colOff>28575</xdr:colOff>
      <xdr:row>22</xdr:row>
      <xdr:rowOff>28575</xdr:rowOff>
    </xdr:to>
    <xdr:sp>
      <xdr:nvSpPr>
        <xdr:cNvPr id="79" name="Oval 165"/>
        <xdr:cNvSpPr>
          <a:spLocks/>
        </xdr:cNvSpPr>
      </xdr:nvSpPr>
      <xdr:spPr>
        <a:xfrm>
          <a:off x="580072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295275</xdr:colOff>
      <xdr:row>30</xdr:row>
      <xdr:rowOff>104775</xdr:rowOff>
    </xdr:from>
    <xdr:to>
      <xdr:col>17</xdr:col>
      <xdr:colOff>28575</xdr:colOff>
      <xdr:row>31</xdr:row>
      <xdr:rowOff>28575</xdr:rowOff>
    </xdr:to>
    <xdr:sp>
      <xdr:nvSpPr>
        <xdr:cNvPr id="80" name="Oval 166"/>
        <xdr:cNvSpPr>
          <a:spLocks/>
        </xdr:cNvSpPr>
      </xdr:nvSpPr>
      <xdr:spPr>
        <a:xfrm>
          <a:off x="5476875" y="4391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1" name="Line 176"/>
        <xdr:cNvSpPr>
          <a:spLocks/>
        </xdr:cNvSpPr>
      </xdr:nvSpPr>
      <xdr:spPr>
        <a:xfrm flipH="1">
          <a:off x="600075" y="3286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82" name="Line 177"/>
        <xdr:cNvSpPr>
          <a:spLocks/>
        </xdr:cNvSpPr>
      </xdr:nvSpPr>
      <xdr:spPr>
        <a:xfrm flipH="1">
          <a:off x="600075" y="4143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29</xdr:row>
      <xdr:rowOff>0</xdr:rowOff>
    </xdr:to>
    <xdr:sp>
      <xdr:nvSpPr>
        <xdr:cNvPr id="83" name="Line 178"/>
        <xdr:cNvSpPr>
          <a:spLocks/>
        </xdr:cNvSpPr>
      </xdr:nvSpPr>
      <xdr:spPr>
        <a:xfrm>
          <a:off x="9715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0</xdr:colOff>
      <xdr:row>28</xdr:row>
      <xdr:rowOff>104775</xdr:rowOff>
    </xdr:to>
    <xdr:sp>
      <xdr:nvSpPr>
        <xdr:cNvPr id="84" name="Line 179"/>
        <xdr:cNvSpPr>
          <a:spLocks/>
        </xdr:cNvSpPr>
      </xdr:nvSpPr>
      <xdr:spPr>
        <a:xfrm>
          <a:off x="6477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28575</xdr:rowOff>
    </xdr:from>
    <xdr:to>
      <xdr:col>2</xdr:col>
      <xdr:colOff>57150</xdr:colOff>
      <xdr:row>23</xdr:row>
      <xdr:rowOff>28575</xdr:rowOff>
    </xdr:to>
    <xdr:sp>
      <xdr:nvSpPr>
        <xdr:cNvPr id="85" name="Line 180"/>
        <xdr:cNvSpPr>
          <a:spLocks/>
        </xdr:cNvSpPr>
      </xdr:nvSpPr>
      <xdr:spPr>
        <a:xfrm flipH="1">
          <a:off x="600075" y="331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104775</xdr:rowOff>
    </xdr:from>
    <xdr:to>
      <xdr:col>2</xdr:col>
      <xdr:colOff>47625</xdr:colOff>
      <xdr:row>28</xdr:row>
      <xdr:rowOff>104775</xdr:rowOff>
    </xdr:to>
    <xdr:sp>
      <xdr:nvSpPr>
        <xdr:cNvPr id="86" name="Line 181"/>
        <xdr:cNvSpPr>
          <a:spLocks/>
        </xdr:cNvSpPr>
      </xdr:nvSpPr>
      <xdr:spPr>
        <a:xfrm flipH="1">
          <a:off x="600075" y="4105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7" name="Line 182"/>
        <xdr:cNvSpPr>
          <a:spLocks/>
        </xdr:cNvSpPr>
      </xdr:nvSpPr>
      <xdr:spPr>
        <a:xfrm>
          <a:off x="6477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88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0</xdr:colOff>
      <xdr:row>13</xdr:row>
      <xdr:rowOff>0</xdr:rowOff>
    </xdr:from>
    <xdr:to>
      <xdr:col>29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29</xdr:row>
      <xdr:rowOff>0</xdr:rowOff>
    </xdr:from>
    <xdr:to>
      <xdr:col>8</xdr:col>
      <xdr:colOff>209550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14337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0</xdr:rowOff>
    </xdr:from>
    <xdr:to>
      <xdr:col>16</xdr:col>
      <xdr:colOff>219075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143375"/>
          <a:ext cx="237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2954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295400" y="328612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057400" y="3286125"/>
          <a:ext cx="409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161925</xdr:colOff>
      <xdr:row>29</xdr:row>
      <xdr:rowOff>0</xdr:rowOff>
    </xdr:to>
    <xdr:sp>
      <xdr:nvSpPr>
        <xdr:cNvPr id="15" name="Arc 15"/>
        <xdr:cNvSpPr>
          <a:spLocks/>
        </xdr:cNvSpPr>
      </xdr:nvSpPr>
      <xdr:spPr>
        <a:xfrm>
          <a:off x="6153150" y="3286125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114300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619750" y="41433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219075</xdr:colOff>
      <xdr:row>28</xdr:row>
      <xdr:rowOff>95250</xdr:rowOff>
    </xdr:from>
    <xdr:to>
      <xdr:col>9</xdr:col>
      <xdr:colOff>114300</xdr:colOff>
      <xdr:row>31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8098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28</xdr:row>
      <xdr:rowOff>95250</xdr:rowOff>
    </xdr:from>
    <xdr:to>
      <xdr:col>17</xdr:col>
      <xdr:colOff>114300</xdr:colOff>
      <xdr:row>31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4006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23</xdr:row>
      <xdr:rowOff>0</xdr:rowOff>
    </xdr:from>
    <xdr:to>
      <xdr:col>4</xdr:col>
      <xdr:colOff>0</xdr:colOff>
      <xdr:row>29</xdr:row>
      <xdr:rowOff>0</xdr:rowOff>
    </xdr:to>
    <xdr:sp>
      <xdr:nvSpPr>
        <xdr:cNvPr id="27" name="Arc 27"/>
        <xdr:cNvSpPr>
          <a:spLocks/>
        </xdr:cNvSpPr>
      </xdr:nvSpPr>
      <xdr:spPr>
        <a:xfrm flipH="1">
          <a:off x="1095375" y="3286125"/>
          <a:ext cx="2000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095375" y="3714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114300</xdr:colOff>
      <xdr:row>29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943100" y="3286125"/>
          <a:ext cx="11430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0</xdr:rowOff>
    </xdr:from>
    <xdr:to>
      <xdr:col>5</xdr:col>
      <xdr:colOff>114300</xdr:colOff>
      <xdr:row>23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954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5</xdr:col>
      <xdr:colOff>114300</xdr:colOff>
      <xdr:row>30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495425" y="414337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18</xdr:col>
      <xdr:colOff>114300</xdr:colOff>
      <xdr:row>23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7054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200025</xdr:colOff>
      <xdr:row>22</xdr:row>
      <xdr:rowOff>0</xdr:rowOff>
    </xdr:from>
    <xdr:to>
      <xdr:col>12</xdr:col>
      <xdr:colOff>114300</xdr:colOff>
      <xdr:row>23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7623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161925</xdr:colOff>
      <xdr:row>30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26695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5" name="Line 36"/>
        <xdr:cNvSpPr>
          <a:spLocks/>
        </xdr:cNvSpPr>
      </xdr:nvSpPr>
      <xdr:spPr>
        <a:xfrm>
          <a:off x="2914650" y="41433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29</xdr:row>
      <xdr:rowOff>0</xdr:rowOff>
    </xdr:to>
    <xdr:sp>
      <xdr:nvSpPr>
        <xdr:cNvPr id="36" name="Line 37"/>
        <xdr:cNvSpPr>
          <a:spLocks/>
        </xdr:cNvSpPr>
      </xdr:nvSpPr>
      <xdr:spPr>
        <a:xfrm flipV="1">
          <a:off x="2914650" y="33147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0</xdr:colOff>
      <xdr:row>25</xdr:row>
      <xdr:rowOff>19050</xdr:rowOff>
    </xdr:to>
    <xdr:sp>
      <xdr:nvSpPr>
        <xdr:cNvPr id="37" name="Rectangle 38"/>
        <xdr:cNvSpPr>
          <a:spLocks/>
        </xdr:cNvSpPr>
      </xdr:nvSpPr>
      <xdr:spPr>
        <a:xfrm>
          <a:off x="2590800" y="3448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28</xdr:row>
      <xdr:rowOff>0</xdr:rowOff>
    </xdr:from>
    <xdr:to>
      <xdr:col>10</xdr:col>
      <xdr:colOff>209550</xdr:colOff>
      <xdr:row>29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3124200" y="40005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39" name="Line 40"/>
        <xdr:cNvSpPr>
          <a:spLocks/>
        </xdr:cNvSpPr>
      </xdr:nvSpPr>
      <xdr:spPr>
        <a:xfrm>
          <a:off x="2914650" y="48577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0</xdr:rowOff>
    </xdr:from>
    <xdr:to>
      <xdr:col>11</xdr:col>
      <xdr:colOff>238125</xdr:colOff>
      <xdr:row>30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2505075" y="41433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25908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51816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15</xdr:col>
      <xdr:colOff>0</xdr:colOff>
      <xdr:row>23</xdr:row>
      <xdr:rowOff>28575</xdr:rowOff>
    </xdr:from>
    <xdr:to>
      <xdr:col>15</xdr:col>
      <xdr:colOff>0</xdr:colOff>
      <xdr:row>28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485775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44" name="Line 45"/>
        <xdr:cNvSpPr>
          <a:spLocks/>
        </xdr:cNvSpPr>
      </xdr:nvSpPr>
      <xdr:spPr>
        <a:xfrm>
          <a:off x="518160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23</xdr:row>
      <xdr:rowOff>28575</xdr:rowOff>
    </xdr:from>
    <xdr:to>
      <xdr:col>15</xdr:col>
      <xdr:colOff>57150</xdr:colOff>
      <xdr:row>23</xdr:row>
      <xdr:rowOff>28575</xdr:rowOff>
    </xdr:to>
    <xdr:sp>
      <xdr:nvSpPr>
        <xdr:cNvPr id="45" name="Line 46"/>
        <xdr:cNvSpPr>
          <a:spLocks/>
        </xdr:cNvSpPr>
      </xdr:nvSpPr>
      <xdr:spPr>
        <a:xfrm>
          <a:off x="4791075" y="3314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104775</xdr:rowOff>
    </xdr:from>
    <xdr:to>
      <xdr:col>15</xdr:col>
      <xdr:colOff>85725</xdr:colOff>
      <xdr:row>28</xdr:row>
      <xdr:rowOff>104775</xdr:rowOff>
    </xdr:to>
    <xdr:sp>
      <xdr:nvSpPr>
        <xdr:cNvPr id="46" name="Line 47"/>
        <xdr:cNvSpPr>
          <a:spLocks/>
        </xdr:cNvSpPr>
      </xdr:nvSpPr>
      <xdr:spPr>
        <a:xfrm>
          <a:off x="479107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47" name="Line 48"/>
        <xdr:cNvSpPr>
          <a:spLocks/>
        </xdr:cNvSpPr>
      </xdr:nvSpPr>
      <xdr:spPr>
        <a:xfrm>
          <a:off x="48577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142875</xdr:colOff>
      <xdr:row>22</xdr:row>
      <xdr:rowOff>0</xdr:rowOff>
    </xdr:to>
    <xdr:sp>
      <xdr:nvSpPr>
        <xdr:cNvPr id="48" name="Line 49"/>
        <xdr:cNvSpPr>
          <a:spLocks/>
        </xdr:cNvSpPr>
      </xdr:nvSpPr>
      <xdr:spPr>
        <a:xfrm flipH="1">
          <a:off x="1295400" y="314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142875</xdr:colOff>
      <xdr:row>30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1295400" y="4286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30</xdr:row>
      <xdr:rowOff>0</xdr:rowOff>
    </xdr:from>
    <xdr:to>
      <xdr:col>6</xdr:col>
      <xdr:colOff>295275</xdr:colOff>
      <xdr:row>30</xdr:row>
      <xdr:rowOff>0</xdr:rowOff>
    </xdr:to>
    <xdr:sp>
      <xdr:nvSpPr>
        <xdr:cNvPr id="50" name="Line 51"/>
        <xdr:cNvSpPr>
          <a:spLocks/>
        </xdr:cNvSpPr>
      </xdr:nvSpPr>
      <xdr:spPr>
        <a:xfrm flipH="1">
          <a:off x="2162175" y="4286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51" name="Line 52"/>
        <xdr:cNvSpPr>
          <a:spLocks/>
        </xdr:cNvSpPr>
      </xdr:nvSpPr>
      <xdr:spPr>
        <a:xfrm>
          <a:off x="4057650" y="3143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161925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52" name="Line 54"/>
        <xdr:cNvSpPr>
          <a:spLocks/>
        </xdr:cNvSpPr>
      </xdr:nvSpPr>
      <xdr:spPr>
        <a:xfrm>
          <a:off x="599122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0</xdr:rowOff>
    </xdr:from>
    <xdr:to>
      <xdr:col>4</xdr:col>
      <xdr:colOff>38100</xdr:colOff>
      <xdr:row>23</xdr:row>
      <xdr:rowOff>0</xdr:rowOff>
    </xdr:to>
    <xdr:sp>
      <xdr:nvSpPr>
        <xdr:cNvPr id="53" name="Line 55"/>
        <xdr:cNvSpPr>
          <a:spLocks/>
        </xdr:cNvSpPr>
      </xdr:nvSpPr>
      <xdr:spPr>
        <a:xfrm flipV="1">
          <a:off x="13335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38100</xdr:colOff>
      <xdr:row>30</xdr:row>
      <xdr:rowOff>0</xdr:rowOff>
    </xdr:to>
    <xdr:sp>
      <xdr:nvSpPr>
        <xdr:cNvPr id="54" name="Line 56"/>
        <xdr:cNvSpPr>
          <a:spLocks/>
        </xdr:cNvSpPr>
      </xdr:nvSpPr>
      <xdr:spPr>
        <a:xfrm flipV="1">
          <a:off x="1333500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0</xdr:rowOff>
    </xdr:from>
    <xdr:to>
      <xdr:col>6</xdr:col>
      <xdr:colOff>257175</xdr:colOff>
      <xdr:row>30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220027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285750</xdr:colOff>
      <xdr:row>22</xdr:row>
      <xdr:rowOff>0</xdr:rowOff>
    </xdr:from>
    <xdr:to>
      <xdr:col>12</xdr:col>
      <xdr:colOff>285750</xdr:colOff>
      <xdr:row>23</xdr:row>
      <xdr:rowOff>0</xdr:rowOff>
    </xdr:to>
    <xdr:sp>
      <xdr:nvSpPr>
        <xdr:cNvPr id="56" name="Line 59"/>
        <xdr:cNvSpPr>
          <a:spLocks/>
        </xdr:cNvSpPr>
      </xdr:nvSpPr>
      <xdr:spPr>
        <a:xfrm flipV="1">
          <a:off x="41719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285750</xdr:colOff>
      <xdr:row>22</xdr:row>
      <xdr:rowOff>0</xdr:rowOff>
    </xdr:from>
    <xdr:to>
      <xdr:col>18</xdr:col>
      <xdr:colOff>285750</xdr:colOff>
      <xdr:row>23</xdr:row>
      <xdr:rowOff>0</xdr:rowOff>
    </xdr:to>
    <xdr:sp>
      <xdr:nvSpPr>
        <xdr:cNvPr id="57" name="Line 60"/>
        <xdr:cNvSpPr>
          <a:spLocks/>
        </xdr:cNvSpPr>
      </xdr:nvSpPr>
      <xdr:spPr>
        <a:xfrm flipV="1">
          <a:off x="611505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8" name="Line 61"/>
        <xdr:cNvSpPr>
          <a:spLocks/>
        </xdr:cNvSpPr>
      </xdr:nvSpPr>
      <xdr:spPr>
        <a:xfrm flipH="1"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30</xdr:row>
      <xdr:rowOff>0</xdr:rowOff>
    </xdr:to>
    <xdr:sp>
      <xdr:nvSpPr>
        <xdr:cNvPr id="59" name="Line 62"/>
        <xdr:cNvSpPr>
          <a:spLocks/>
        </xdr:cNvSpPr>
      </xdr:nvSpPr>
      <xdr:spPr>
        <a:xfrm>
          <a:off x="1619250" y="31432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23</xdr:row>
      <xdr:rowOff>47625</xdr:rowOff>
    </xdr:to>
    <xdr:sp>
      <xdr:nvSpPr>
        <xdr:cNvPr id="60" name="Line 63"/>
        <xdr:cNvSpPr>
          <a:spLocks/>
        </xdr:cNvSpPr>
      </xdr:nvSpPr>
      <xdr:spPr>
        <a:xfrm>
          <a:off x="388620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95250</xdr:rowOff>
    </xdr:from>
    <xdr:to>
      <xdr:col>7</xdr:col>
      <xdr:colOff>76200</xdr:colOff>
      <xdr:row>30</xdr:row>
      <xdr:rowOff>9525</xdr:rowOff>
    </xdr:to>
    <xdr:sp>
      <xdr:nvSpPr>
        <xdr:cNvPr id="61" name="Line 65"/>
        <xdr:cNvSpPr>
          <a:spLocks/>
        </xdr:cNvSpPr>
      </xdr:nvSpPr>
      <xdr:spPr>
        <a:xfrm>
          <a:off x="2343150" y="4095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23</xdr:row>
      <xdr:rowOff>38100</xdr:rowOff>
    </xdr:to>
    <xdr:sp>
      <xdr:nvSpPr>
        <xdr:cNvPr id="62" name="Line 66"/>
        <xdr:cNvSpPr>
          <a:spLocks/>
        </xdr:cNvSpPr>
      </xdr:nvSpPr>
      <xdr:spPr>
        <a:xfrm>
          <a:off x="582930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3" name="Line 67"/>
        <xdr:cNvSpPr>
          <a:spLocks/>
        </xdr:cNvSpPr>
      </xdr:nvSpPr>
      <xdr:spPr>
        <a:xfrm>
          <a:off x="1943100" y="371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64" name="Line 68"/>
        <xdr:cNvSpPr>
          <a:spLocks/>
        </xdr:cNvSpPr>
      </xdr:nvSpPr>
      <xdr:spPr>
        <a:xfrm>
          <a:off x="29146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38100</xdr:rowOff>
    </xdr:to>
    <xdr:sp>
      <xdr:nvSpPr>
        <xdr:cNvPr id="65" name="Line 70"/>
        <xdr:cNvSpPr>
          <a:spLocks/>
        </xdr:cNvSpPr>
      </xdr:nvSpPr>
      <xdr:spPr>
        <a:xfrm flipV="1">
          <a:off x="2914650" y="4286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57150</xdr:rowOff>
    </xdr:from>
    <xdr:to>
      <xdr:col>17</xdr:col>
      <xdr:colOff>0</xdr:colOff>
      <xdr:row>31</xdr:row>
      <xdr:rowOff>47625</xdr:rowOff>
    </xdr:to>
    <xdr:sp>
      <xdr:nvSpPr>
        <xdr:cNvPr id="66" name="Line 71"/>
        <xdr:cNvSpPr>
          <a:spLocks/>
        </xdr:cNvSpPr>
      </xdr:nvSpPr>
      <xdr:spPr>
        <a:xfrm flipV="1">
          <a:off x="5505450" y="4057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67" name="Line 72"/>
        <xdr:cNvSpPr>
          <a:spLocks/>
        </xdr:cNvSpPr>
      </xdr:nvSpPr>
      <xdr:spPr>
        <a:xfrm>
          <a:off x="550545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66675</xdr:rowOff>
    </xdr:from>
    <xdr:to>
      <xdr:col>18</xdr:col>
      <xdr:colOff>0</xdr:colOff>
      <xdr:row>24</xdr:row>
      <xdr:rowOff>28575</xdr:rowOff>
    </xdr:to>
    <xdr:sp>
      <xdr:nvSpPr>
        <xdr:cNvPr id="68" name="Line 73"/>
        <xdr:cNvSpPr>
          <a:spLocks/>
        </xdr:cNvSpPr>
      </xdr:nvSpPr>
      <xdr:spPr>
        <a:xfrm>
          <a:off x="5829300" y="3352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85725</xdr:rowOff>
    </xdr:from>
    <xdr:to>
      <xdr:col>12</xdr:col>
      <xdr:colOff>0</xdr:colOff>
      <xdr:row>24</xdr:row>
      <xdr:rowOff>38100</xdr:rowOff>
    </xdr:to>
    <xdr:sp>
      <xdr:nvSpPr>
        <xdr:cNvPr id="69" name="Line 74"/>
        <xdr:cNvSpPr>
          <a:spLocks/>
        </xdr:cNvSpPr>
      </xdr:nvSpPr>
      <xdr:spPr>
        <a:xfrm>
          <a:off x="388620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95250</xdr:rowOff>
    </xdr:from>
    <xdr:to>
      <xdr:col>17</xdr:col>
      <xdr:colOff>0</xdr:colOff>
      <xdr:row>28</xdr:row>
      <xdr:rowOff>19050</xdr:rowOff>
    </xdr:to>
    <xdr:sp>
      <xdr:nvSpPr>
        <xdr:cNvPr id="70" name="Line 75"/>
        <xdr:cNvSpPr>
          <a:spLocks/>
        </xdr:cNvSpPr>
      </xdr:nvSpPr>
      <xdr:spPr>
        <a:xfrm>
          <a:off x="5505450" y="33813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95250</xdr:rowOff>
    </xdr:from>
    <xdr:to>
      <xdr:col>9</xdr:col>
      <xdr:colOff>0</xdr:colOff>
      <xdr:row>34</xdr:row>
      <xdr:rowOff>38100</xdr:rowOff>
    </xdr:to>
    <xdr:sp>
      <xdr:nvSpPr>
        <xdr:cNvPr id="71" name="Line 77"/>
        <xdr:cNvSpPr>
          <a:spLocks/>
        </xdr:cNvSpPr>
      </xdr:nvSpPr>
      <xdr:spPr>
        <a:xfrm>
          <a:off x="2914650" y="4524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85725</xdr:rowOff>
    </xdr:from>
    <xdr:to>
      <xdr:col>17</xdr:col>
      <xdr:colOff>0</xdr:colOff>
      <xdr:row>34</xdr:row>
      <xdr:rowOff>38100</xdr:rowOff>
    </xdr:to>
    <xdr:sp>
      <xdr:nvSpPr>
        <xdr:cNvPr id="72" name="Line 78"/>
        <xdr:cNvSpPr>
          <a:spLocks/>
        </xdr:cNvSpPr>
      </xdr:nvSpPr>
      <xdr:spPr>
        <a:xfrm>
          <a:off x="5505450" y="4800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104775</xdr:rowOff>
    </xdr:from>
    <xdr:to>
      <xdr:col>5</xdr:col>
      <xdr:colOff>28575</xdr:colOff>
      <xdr:row>22</xdr:row>
      <xdr:rowOff>28575</xdr:rowOff>
    </xdr:to>
    <xdr:sp>
      <xdr:nvSpPr>
        <xdr:cNvPr id="73" name="Oval 79"/>
        <xdr:cNvSpPr>
          <a:spLocks/>
        </xdr:cNvSpPr>
      </xdr:nvSpPr>
      <xdr:spPr>
        <a:xfrm>
          <a:off x="15906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5</xdr:col>
      <xdr:colOff>28575</xdr:colOff>
      <xdr:row>30</xdr:row>
      <xdr:rowOff>28575</xdr:rowOff>
    </xdr:to>
    <xdr:sp>
      <xdr:nvSpPr>
        <xdr:cNvPr id="74" name="Oval 80"/>
        <xdr:cNvSpPr>
          <a:spLocks/>
        </xdr:cNvSpPr>
      </xdr:nvSpPr>
      <xdr:spPr>
        <a:xfrm>
          <a:off x="15906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295275</xdr:colOff>
      <xdr:row>21</xdr:row>
      <xdr:rowOff>104775</xdr:rowOff>
    </xdr:from>
    <xdr:to>
      <xdr:col>12</xdr:col>
      <xdr:colOff>28575</xdr:colOff>
      <xdr:row>22</xdr:row>
      <xdr:rowOff>28575</xdr:rowOff>
    </xdr:to>
    <xdr:sp>
      <xdr:nvSpPr>
        <xdr:cNvPr id="75" name="Oval 81"/>
        <xdr:cNvSpPr>
          <a:spLocks/>
        </xdr:cNvSpPr>
      </xdr:nvSpPr>
      <xdr:spPr>
        <a:xfrm>
          <a:off x="385762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104775</xdr:rowOff>
    </xdr:from>
    <xdr:to>
      <xdr:col>7</xdr:col>
      <xdr:colOff>104775</xdr:colOff>
      <xdr:row>30</xdr:row>
      <xdr:rowOff>28575</xdr:rowOff>
    </xdr:to>
    <xdr:sp>
      <xdr:nvSpPr>
        <xdr:cNvPr id="76" name="Oval 82"/>
        <xdr:cNvSpPr>
          <a:spLocks/>
        </xdr:cNvSpPr>
      </xdr:nvSpPr>
      <xdr:spPr>
        <a:xfrm>
          <a:off x="23145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21</xdr:row>
      <xdr:rowOff>104775</xdr:rowOff>
    </xdr:from>
    <xdr:to>
      <xdr:col>18</xdr:col>
      <xdr:colOff>28575</xdr:colOff>
      <xdr:row>22</xdr:row>
      <xdr:rowOff>28575</xdr:rowOff>
    </xdr:to>
    <xdr:sp>
      <xdr:nvSpPr>
        <xdr:cNvPr id="77" name="Oval 84"/>
        <xdr:cNvSpPr>
          <a:spLocks/>
        </xdr:cNvSpPr>
      </xdr:nvSpPr>
      <xdr:spPr>
        <a:xfrm>
          <a:off x="580072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295275</xdr:colOff>
      <xdr:row>30</xdr:row>
      <xdr:rowOff>104775</xdr:rowOff>
    </xdr:from>
    <xdr:to>
      <xdr:col>17</xdr:col>
      <xdr:colOff>28575</xdr:colOff>
      <xdr:row>31</xdr:row>
      <xdr:rowOff>28575</xdr:rowOff>
    </xdr:to>
    <xdr:sp>
      <xdr:nvSpPr>
        <xdr:cNvPr id="78" name="Oval 85"/>
        <xdr:cNvSpPr>
          <a:spLocks/>
        </xdr:cNvSpPr>
      </xdr:nvSpPr>
      <xdr:spPr>
        <a:xfrm>
          <a:off x="5476875" y="4391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76200</xdr:colOff>
      <xdr:row>28</xdr:row>
      <xdr:rowOff>76200</xdr:rowOff>
    </xdr:to>
    <xdr:sp>
      <xdr:nvSpPr>
        <xdr:cNvPr id="79" name="Line 86"/>
        <xdr:cNvSpPr>
          <a:spLocks/>
        </xdr:cNvSpPr>
      </xdr:nvSpPr>
      <xdr:spPr>
        <a:xfrm flipV="1">
          <a:off x="2343150" y="3952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0" name="Line 87"/>
        <xdr:cNvSpPr>
          <a:spLocks/>
        </xdr:cNvSpPr>
      </xdr:nvSpPr>
      <xdr:spPr>
        <a:xfrm flipH="1">
          <a:off x="2343150" y="4000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1" name="Line 88"/>
        <xdr:cNvSpPr>
          <a:spLocks/>
        </xdr:cNvSpPr>
      </xdr:nvSpPr>
      <xdr:spPr>
        <a:xfrm flipH="1">
          <a:off x="600075" y="3286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82" name="Line 89"/>
        <xdr:cNvSpPr>
          <a:spLocks/>
        </xdr:cNvSpPr>
      </xdr:nvSpPr>
      <xdr:spPr>
        <a:xfrm flipH="1">
          <a:off x="600075" y="4143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29</xdr:row>
      <xdr:rowOff>0</xdr:rowOff>
    </xdr:to>
    <xdr:sp>
      <xdr:nvSpPr>
        <xdr:cNvPr id="83" name="Line 90"/>
        <xdr:cNvSpPr>
          <a:spLocks/>
        </xdr:cNvSpPr>
      </xdr:nvSpPr>
      <xdr:spPr>
        <a:xfrm>
          <a:off x="9715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0</xdr:colOff>
      <xdr:row>28</xdr:row>
      <xdr:rowOff>104775</xdr:rowOff>
    </xdr:to>
    <xdr:sp>
      <xdr:nvSpPr>
        <xdr:cNvPr id="84" name="Line 91"/>
        <xdr:cNvSpPr>
          <a:spLocks/>
        </xdr:cNvSpPr>
      </xdr:nvSpPr>
      <xdr:spPr>
        <a:xfrm>
          <a:off x="6477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28575</xdr:rowOff>
    </xdr:from>
    <xdr:to>
      <xdr:col>2</xdr:col>
      <xdr:colOff>57150</xdr:colOff>
      <xdr:row>23</xdr:row>
      <xdr:rowOff>28575</xdr:rowOff>
    </xdr:to>
    <xdr:sp>
      <xdr:nvSpPr>
        <xdr:cNvPr id="85" name="Line 92"/>
        <xdr:cNvSpPr>
          <a:spLocks/>
        </xdr:cNvSpPr>
      </xdr:nvSpPr>
      <xdr:spPr>
        <a:xfrm flipH="1">
          <a:off x="600075" y="331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104775</xdr:rowOff>
    </xdr:from>
    <xdr:to>
      <xdr:col>2</xdr:col>
      <xdr:colOff>47625</xdr:colOff>
      <xdr:row>28</xdr:row>
      <xdr:rowOff>104775</xdr:rowOff>
    </xdr:to>
    <xdr:sp>
      <xdr:nvSpPr>
        <xdr:cNvPr id="86" name="Line 93"/>
        <xdr:cNvSpPr>
          <a:spLocks/>
        </xdr:cNvSpPr>
      </xdr:nvSpPr>
      <xdr:spPr>
        <a:xfrm flipH="1">
          <a:off x="600075" y="4105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7" name="Line 94"/>
        <xdr:cNvSpPr>
          <a:spLocks/>
        </xdr:cNvSpPr>
      </xdr:nvSpPr>
      <xdr:spPr>
        <a:xfrm>
          <a:off x="6477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88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0</xdr:colOff>
      <xdr:row>13</xdr:row>
      <xdr:rowOff>0</xdr:rowOff>
    </xdr:from>
    <xdr:to>
      <xdr:col>27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30</xdr:row>
      <xdr:rowOff>0</xdr:rowOff>
    </xdr:from>
    <xdr:to>
      <xdr:col>8</xdr:col>
      <xdr:colOff>209550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2862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0</xdr:rowOff>
    </xdr:from>
    <xdr:to>
      <xdr:col>16</xdr:col>
      <xdr:colOff>219075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286250"/>
          <a:ext cx="237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1295400" y="4286250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1295400" y="3429000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057400" y="3429000"/>
          <a:ext cx="409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161925</xdr:colOff>
      <xdr:row>30</xdr:row>
      <xdr:rowOff>0</xdr:rowOff>
    </xdr:to>
    <xdr:sp>
      <xdr:nvSpPr>
        <xdr:cNvPr id="15" name="Arc 15"/>
        <xdr:cNvSpPr>
          <a:spLocks/>
        </xdr:cNvSpPr>
      </xdr:nvSpPr>
      <xdr:spPr>
        <a:xfrm>
          <a:off x="6153150" y="3429000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114300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5619750" y="428625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95250</xdr:rowOff>
    </xdr:from>
    <xdr:to>
      <xdr:col>9</xdr:col>
      <xdr:colOff>114300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809875" y="4238625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29</xdr:row>
      <xdr:rowOff>95250</xdr:rowOff>
    </xdr:from>
    <xdr:to>
      <xdr:col>17</xdr:col>
      <xdr:colOff>114300</xdr:colOff>
      <xdr:row>32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400675" y="4238625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24</xdr:row>
      <xdr:rowOff>0</xdr:rowOff>
    </xdr:from>
    <xdr:to>
      <xdr:col>4</xdr:col>
      <xdr:colOff>0</xdr:colOff>
      <xdr:row>30</xdr:row>
      <xdr:rowOff>0</xdr:rowOff>
    </xdr:to>
    <xdr:sp>
      <xdr:nvSpPr>
        <xdr:cNvPr id="27" name="Arc 27"/>
        <xdr:cNvSpPr>
          <a:spLocks/>
        </xdr:cNvSpPr>
      </xdr:nvSpPr>
      <xdr:spPr>
        <a:xfrm flipH="1">
          <a:off x="1095375" y="3429000"/>
          <a:ext cx="2000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095375" y="3857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114300</xdr:colOff>
      <xdr:row>30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943100" y="3429000"/>
          <a:ext cx="11430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0</xdr:rowOff>
    </xdr:from>
    <xdr:to>
      <xdr:col>5</xdr:col>
      <xdr:colOff>114300</xdr:colOff>
      <xdr:row>24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95425" y="328612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30</xdr:row>
      <xdr:rowOff>0</xdr:rowOff>
    </xdr:from>
    <xdr:to>
      <xdr:col>5</xdr:col>
      <xdr:colOff>114300</xdr:colOff>
      <xdr:row>31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495425" y="4286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200025</xdr:colOff>
      <xdr:row>23</xdr:row>
      <xdr:rowOff>0</xdr:rowOff>
    </xdr:from>
    <xdr:to>
      <xdr:col>18</xdr:col>
      <xdr:colOff>114300</xdr:colOff>
      <xdr:row>24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705475" y="328612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200025</xdr:colOff>
      <xdr:row>23</xdr:row>
      <xdr:rowOff>0</xdr:rowOff>
    </xdr:from>
    <xdr:to>
      <xdr:col>12</xdr:col>
      <xdr:colOff>114300</xdr:colOff>
      <xdr:row>24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762375" y="328612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161925</xdr:colOff>
      <xdr:row>31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266950" y="42862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4286250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28575</xdr:rowOff>
    </xdr:from>
    <xdr:to>
      <xdr:col>9</xdr:col>
      <xdr:colOff>0</xdr:colOff>
      <xdr:row>30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914650" y="3457575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19050</xdr:rowOff>
    </xdr:from>
    <xdr:to>
      <xdr:col>9</xdr:col>
      <xdr:colOff>0</xdr:colOff>
      <xdr:row>26</xdr:row>
      <xdr:rowOff>19050</xdr:rowOff>
    </xdr:to>
    <xdr:sp>
      <xdr:nvSpPr>
        <xdr:cNvPr id="37" name="Rectangle 37"/>
        <xdr:cNvSpPr>
          <a:spLocks/>
        </xdr:cNvSpPr>
      </xdr:nvSpPr>
      <xdr:spPr>
        <a:xfrm>
          <a:off x="2590800" y="359092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29</xdr:row>
      <xdr:rowOff>0</xdr:rowOff>
    </xdr:from>
    <xdr:to>
      <xdr:col>10</xdr:col>
      <xdr:colOff>209550</xdr:colOff>
      <xdr:row>30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124200" y="414337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5000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238125</xdr:colOff>
      <xdr:row>30</xdr:row>
      <xdr:rowOff>0</xdr:rowOff>
    </xdr:from>
    <xdr:to>
      <xdr:col>11</xdr:col>
      <xdr:colOff>238125</xdr:colOff>
      <xdr:row>31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2505075" y="4286250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590800" y="5000625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5181600" y="5000625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15</xdr:col>
      <xdr:colOff>0</xdr:colOff>
      <xdr:row>24</xdr:row>
      <xdr:rowOff>28575</xdr:rowOff>
    </xdr:from>
    <xdr:to>
      <xdr:col>15</xdr:col>
      <xdr:colOff>0</xdr:colOff>
      <xdr:row>29</xdr:row>
      <xdr:rowOff>104775</xdr:rowOff>
    </xdr:to>
    <xdr:sp>
      <xdr:nvSpPr>
        <xdr:cNvPr id="43" name="Line 43"/>
        <xdr:cNvSpPr>
          <a:spLocks/>
        </xdr:cNvSpPr>
      </xdr:nvSpPr>
      <xdr:spPr>
        <a:xfrm>
          <a:off x="4857750" y="34575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5181600" y="3429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24</xdr:row>
      <xdr:rowOff>28575</xdr:rowOff>
    </xdr:from>
    <xdr:to>
      <xdr:col>15</xdr:col>
      <xdr:colOff>57150</xdr:colOff>
      <xdr:row>24</xdr:row>
      <xdr:rowOff>28575</xdr:rowOff>
    </xdr:to>
    <xdr:sp>
      <xdr:nvSpPr>
        <xdr:cNvPr id="45" name="Line 45"/>
        <xdr:cNvSpPr>
          <a:spLocks/>
        </xdr:cNvSpPr>
      </xdr:nvSpPr>
      <xdr:spPr>
        <a:xfrm>
          <a:off x="4791075" y="345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257175</xdr:colOff>
      <xdr:row>29</xdr:row>
      <xdr:rowOff>104775</xdr:rowOff>
    </xdr:from>
    <xdr:to>
      <xdr:col>15</xdr:col>
      <xdr:colOff>85725</xdr:colOff>
      <xdr:row>29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4791075" y="4248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0" y="3286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142875</xdr:colOff>
      <xdr:row>23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295400" y="3286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142875</xdr:colOff>
      <xdr:row>31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295400" y="4429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6</xdr:col>
      <xdr:colOff>295275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2162175" y="4429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51" name="Line 51"/>
        <xdr:cNvSpPr>
          <a:spLocks/>
        </xdr:cNvSpPr>
      </xdr:nvSpPr>
      <xdr:spPr>
        <a:xfrm>
          <a:off x="4057650" y="3286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161925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52" name="Line 52"/>
        <xdr:cNvSpPr>
          <a:spLocks/>
        </xdr:cNvSpPr>
      </xdr:nvSpPr>
      <xdr:spPr>
        <a:xfrm>
          <a:off x="5991225" y="3286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0</xdr:rowOff>
    </xdr:from>
    <xdr:to>
      <xdr:col>4</xdr:col>
      <xdr:colOff>38100</xdr:colOff>
      <xdr:row>24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333500" y="3286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38100</xdr:colOff>
      <xdr:row>31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333500" y="4286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0</xdr:rowOff>
    </xdr:from>
    <xdr:to>
      <xdr:col>6</xdr:col>
      <xdr:colOff>257175</xdr:colOff>
      <xdr:row>31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200275" y="4286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285750</xdr:colOff>
      <xdr:row>23</xdr:row>
      <xdr:rowOff>0</xdr:rowOff>
    </xdr:from>
    <xdr:to>
      <xdr:col>12</xdr:col>
      <xdr:colOff>285750</xdr:colOff>
      <xdr:row>24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4171950" y="3286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285750</xdr:colOff>
      <xdr:row>23</xdr:row>
      <xdr:rowOff>0</xdr:rowOff>
    </xdr:from>
    <xdr:to>
      <xdr:col>18</xdr:col>
      <xdr:colOff>285750</xdr:colOff>
      <xdr:row>24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6115050" y="3286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619250" y="3857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31</xdr:row>
      <xdr:rowOff>0</xdr:rowOff>
    </xdr:to>
    <xdr:sp>
      <xdr:nvSpPr>
        <xdr:cNvPr id="59" name="Line 59"/>
        <xdr:cNvSpPr>
          <a:spLocks/>
        </xdr:cNvSpPr>
      </xdr:nvSpPr>
      <xdr:spPr>
        <a:xfrm>
          <a:off x="1619250" y="32861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24</xdr:row>
      <xdr:rowOff>47625</xdr:rowOff>
    </xdr:to>
    <xdr:sp>
      <xdr:nvSpPr>
        <xdr:cNvPr id="60" name="Line 60"/>
        <xdr:cNvSpPr>
          <a:spLocks/>
        </xdr:cNvSpPr>
      </xdr:nvSpPr>
      <xdr:spPr>
        <a:xfrm>
          <a:off x="3886200" y="32861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95250</xdr:rowOff>
    </xdr:from>
    <xdr:to>
      <xdr:col>7</xdr:col>
      <xdr:colOff>76200</xdr:colOff>
      <xdr:row>31</xdr:row>
      <xdr:rowOff>9525</xdr:rowOff>
    </xdr:to>
    <xdr:sp>
      <xdr:nvSpPr>
        <xdr:cNvPr id="61" name="Line 61"/>
        <xdr:cNvSpPr>
          <a:spLocks/>
        </xdr:cNvSpPr>
      </xdr:nvSpPr>
      <xdr:spPr>
        <a:xfrm>
          <a:off x="2343150" y="42386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24</xdr:row>
      <xdr:rowOff>38100</xdr:rowOff>
    </xdr:to>
    <xdr:sp>
      <xdr:nvSpPr>
        <xdr:cNvPr id="62" name="Line 62"/>
        <xdr:cNvSpPr>
          <a:spLocks/>
        </xdr:cNvSpPr>
      </xdr:nvSpPr>
      <xdr:spPr>
        <a:xfrm>
          <a:off x="5829300" y="3286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63" name="Line 63"/>
        <xdr:cNvSpPr>
          <a:spLocks/>
        </xdr:cNvSpPr>
      </xdr:nvSpPr>
      <xdr:spPr>
        <a:xfrm>
          <a:off x="1943100" y="3857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64" name="Line 64"/>
        <xdr:cNvSpPr>
          <a:spLocks/>
        </xdr:cNvSpPr>
      </xdr:nvSpPr>
      <xdr:spPr>
        <a:xfrm>
          <a:off x="2914650" y="3571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32</xdr:row>
      <xdr:rowOff>38100</xdr:rowOff>
    </xdr:to>
    <xdr:sp>
      <xdr:nvSpPr>
        <xdr:cNvPr id="65" name="Line 65"/>
        <xdr:cNvSpPr>
          <a:spLocks/>
        </xdr:cNvSpPr>
      </xdr:nvSpPr>
      <xdr:spPr>
        <a:xfrm flipV="1">
          <a:off x="2914650" y="4429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57150</xdr:rowOff>
    </xdr:from>
    <xdr:to>
      <xdr:col>17</xdr:col>
      <xdr:colOff>0</xdr:colOff>
      <xdr:row>32</xdr:row>
      <xdr:rowOff>47625</xdr:rowOff>
    </xdr:to>
    <xdr:sp>
      <xdr:nvSpPr>
        <xdr:cNvPr id="66" name="Line 66"/>
        <xdr:cNvSpPr>
          <a:spLocks/>
        </xdr:cNvSpPr>
      </xdr:nvSpPr>
      <xdr:spPr>
        <a:xfrm flipV="1">
          <a:off x="5505450" y="4200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5505450" y="3571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66675</xdr:rowOff>
    </xdr:from>
    <xdr:to>
      <xdr:col>18</xdr:col>
      <xdr:colOff>0</xdr:colOff>
      <xdr:row>25</xdr:row>
      <xdr:rowOff>28575</xdr:rowOff>
    </xdr:to>
    <xdr:sp>
      <xdr:nvSpPr>
        <xdr:cNvPr id="68" name="Line 68"/>
        <xdr:cNvSpPr>
          <a:spLocks/>
        </xdr:cNvSpPr>
      </xdr:nvSpPr>
      <xdr:spPr>
        <a:xfrm>
          <a:off x="5829300" y="34956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85725</xdr:rowOff>
    </xdr:from>
    <xdr:to>
      <xdr:col>12</xdr:col>
      <xdr:colOff>0</xdr:colOff>
      <xdr:row>25</xdr:row>
      <xdr:rowOff>38100</xdr:rowOff>
    </xdr:to>
    <xdr:sp>
      <xdr:nvSpPr>
        <xdr:cNvPr id="69" name="Line 69"/>
        <xdr:cNvSpPr>
          <a:spLocks/>
        </xdr:cNvSpPr>
      </xdr:nvSpPr>
      <xdr:spPr>
        <a:xfrm>
          <a:off x="3886200" y="3514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95250</xdr:rowOff>
    </xdr:from>
    <xdr:to>
      <xdr:col>17</xdr:col>
      <xdr:colOff>0</xdr:colOff>
      <xdr:row>29</xdr:row>
      <xdr:rowOff>19050</xdr:rowOff>
    </xdr:to>
    <xdr:sp>
      <xdr:nvSpPr>
        <xdr:cNvPr id="70" name="Line 70"/>
        <xdr:cNvSpPr>
          <a:spLocks/>
        </xdr:cNvSpPr>
      </xdr:nvSpPr>
      <xdr:spPr>
        <a:xfrm>
          <a:off x="5505450" y="3524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95250</xdr:rowOff>
    </xdr:from>
    <xdr:to>
      <xdr:col>9</xdr:col>
      <xdr:colOff>0</xdr:colOff>
      <xdr:row>35</xdr:row>
      <xdr:rowOff>38100</xdr:rowOff>
    </xdr:to>
    <xdr:sp>
      <xdr:nvSpPr>
        <xdr:cNvPr id="71" name="Line 71"/>
        <xdr:cNvSpPr>
          <a:spLocks/>
        </xdr:cNvSpPr>
      </xdr:nvSpPr>
      <xdr:spPr>
        <a:xfrm>
          <a:off x="2914650" y="4667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85725</xdr:rowOff>
    </xdr:from>
    <xdr:to>
      <xdr:col>17</xdr:col>
      <xdr:colOff>0</xdr:colOff>
      <xdr:row>35</xdr:row>
      <xdr:rowOff>38100</xdr:rowOff>
    </xdr:to>
    <xdr:sp>
      <xdr:nvSpPr>
        <xdr:cNvPr id="72" name="Line 72"/>
        <xdr:cNvSpPr>
          <a:spLocks/>
        </xdr:cNvSpPr>
      </xdr:nvSpPr>
      <xdr:spPr>
        <a:xfrm>
          <a:off x="5505450" y="4943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104775</xdr:rowOff>
    </xdr:from>
    <xdr:to>
      <xdr:col>5</xdr:col>
      <xdr:colOff>28575</xdr:colOff>
      <xdr:row>23</xdr:row>
      <xdr:rowOff>28575</xdr:rowOff>
    </xdr:to>
    <xdr:sp>
      <xdr:nvSpPr>
        <xdr:cNvPr id="73" name="Oval 73"/>
        <xdr:cNvSpPr>
          <a:spLocks/>
        </xdr:cNvSpPr>
      </xdr:nvSpPr>
      <xdr:spPr>
        <a:xfrm>
          <a:off x="1590675" y="3248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30</xdr:row>
      <xdr:rowOff>104775</xdr:rowOff>
    </xdr:from>
    <xdr:to>
      <xdr:col>5</xdr:col>
      <xdr:colOff>28575</xdr:colOff>
      <xdr:row>31</xdr:row>
      <xdr:rowOff>28575</xdr:rowOff>
    </xdr:to>
    <xdr:sp>
      <xdr:nvSpPr>
        <xdr:cNvPr id="74" name="Oval 74"/>
        <xdr:cNvSpPr>
          <a:spLocks/>
        </xdr:cNvSpPr>
      </xdr:nvSpPr>
      <xdr:spPr>
        <a:xfrm>
          <a:off x="1590675" y="4391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295275</xdr:colOff>
      <xdr:row>22</xdr:row>
      <xdr:rowOff>104775</xdr:rowOff>
    </xdr:from>
    <xdr:to>
      <xdr:col>12</xdr:col>
      <xdr:colOff>28575</xdr:colOff>
      <xdr:row>23</xdr:row>
      <xdr:rowOff>28575</xdr:rowOff>
    </xdr:to>
    <xdr:sp>
      <xdr:nvSpPr>
        <xdr:cNvPr id="75" name="Oval 75"/>
        <xdr:cNvSpPr>
          <a:spLocks/>
        </xdr:cNvSpPr>
      </xdr:nvSpPr>
      <xdr:spPr>
        <a:xfrm>
          <a:off x="3857625" y="3248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104775</xdr:rowOff>
    </xdr:from>
    <xdr:to>
      <xdr:col>7</xdr:col>
      <xdr:colOff>104775</xdr:colOff>
      <xdr:row>31</xdr:row>
      <xdr:rowOff>28575</xdr:rowOff>
    </xdr:to>
    <xdr:sp>
      <xdr:nvSpPr>
        <xdr:cNvPr id="76" name="Oval 76"/>
        <xdr:cNvSpPr>
          <a:spLocks/>
        </xdr:cNvSpPr>
      </xdr:nvSpPr>
      <xdr:spPr>
        <a:xfrm>
          <a:off x="2314575" y="4391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22</xdr:row>
      <xdr:rowOff>104775</xdr:rowOff>
    </xdr:from>
    <xdr:to>
      <xdr:col>18</xdr:col>
      <xdr:colOff>28575</xdr:colOff>
      <xdr:row>23</xdr:row>
      <xdr:rowOff>28575</xdr:rowOff>
    </xdr:to>
    <xdr:sp>
      <xdr:nvSpPr>
        <xdr:cNvPr id="77" name="Oval 77"/>
        <xdr:cNvSpPr>
          <a:spLocks/>
        </xdr:cNvSpPr>
      </xdr:nvSpPr>
      <xdr:spPr>
        <a:xfrm>
          <a:off x="5800725" y="3248025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104775</xdr:rowOff>
    </xdr:from>
    <xdr:to>
      <xdr:col>17</xdr:col>
      <xdr:colOff>28575</xdr:colOff>
      <xdr:row>32</xdr:row>
      <xdr:rowOff>28575</xdr:rowOff>
    </xdr:to>
    <xdr:sp>
      <xdr:nvSpPr>
        <xdr:cNvPr id="78" name="Oval 78"/>
        <xdr:cNvSpPr>
          <a:spLocks/>
        </xdr:cNvSpPr>
      </xdr:nvSpPr>
      <xdr:spPr>
        <a:xfrm>
          <a:off x="5476875" y="453390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95250</xdr:rowOff>
    </xdr:from>
    <xdr:to>
      <xdr:col>7</xdr:col>
      <xdr:colOff>76200</xdr:colOff>
      <xdr:row>29</xdr:row>
      <xdr:rowOff>76200</xdr:rowOff>
    </xdr:to>
    <xdr:sp>
      <xdr:nvSpPr>
        <xdr:cNvPr id="79" name="Line 79"/>
        <xdr:cNvSpPr>
          <a:spLocks/>
        </xdr:cNvSpPr>
      </xdr:nvSpPr>
      <xdr:spPr>
        <a:xfrm flipV="1">
          <a:off x="2343150" y="4095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343150" y="4143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00075" y="3429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00075" y="4286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30</xdr:row>
      <xdr:rowOff>0</xdr:rowOff>
    </xdr:to>
    <xdr:sp>
      <xdr:nvSpPr>
        <xdr:cNvPr id="83" name="Line 83"/>
        <xdr:cNvSpPr>
          <a:spLocks/>
        </xdr:cNvSpPr>
      </xdr:nvSpPr>
      <xdr:spPr>
        <a:xfrm>
          <a:off x="971550" y="3429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0</xdr:colOff>
      <xdr:row>29</xdr:row>
      <xdr:rowOff>104775</xdr:rowOff>
    </xdr:to>
    <xdr:sp>
      <xdr:nvSpPr>
        <xdr:cNvPr id="84" name="Line 84"/>
        <xdr:cNvSpPr>
          <a:spLocks/>
        </xdr:cNvSpPr>
      </xdr:nvSpPr>
      <xdr:spPr>
        <a:xfrm>
          <a:off x="647700" y="34575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24</xdr:row>
      <xdr:rowOff>28575</xdr:rowOff>
    </xdr:from>
    <xdr:to>
      <xdr:col>2</xdr:col>
      <xdr:colOff>57150</xdr:colOff>
      <xdr:row>24</xdr:row>
      <xdr:rowOff>28575</xdr:rowOff>
    </xdr:to>
    <xdr:sp>
      <xdr:nvSpPr>
        <xdr:cNvPr id="85" name="Line 85"/>
        <xdr:cNvSpPr>
          <a:spLocks/>
        </xdr:cNvSpPr>
      </xdr:nvSpPr>
      <xdr:spPr>
        <a:xfrm flipH="1">
          <a:off x="600075" y="3457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104775</xdr:rowOff>
    </xdr:from>
    <xdr:to>
      <xdr:col>2</xdr:col>
      <xdr:colOff>47625</xdr:colOff>
      <xdr:row>29</xdr:row>
      <xdr:rowOff>104775</xdr:rowOff>
    </xdr:to>
    <xdr:sp>
      <xdr:nvSpPr>
        <xdr:cNvPr id="86" name="Line 86"/>
        <xdr:cNvSpPr>
          <a:spLocks/>
        </xdr:cNvSpPr>
      </xdr:nvSpPr>
      <xdr:spPr>
        <a:xfrm flipH="1">
          <a:off x="600075" y="4248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87" name="Line 87"/>
        <xdr:cNvSpPr>
          <a:spLocks/>
        </xdr:cNvSpPr>
      </xdr:nvSpPr>
      <xdr:spPr>
        <a:xfrm>
          <a:off x="647700" y="3286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88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0</xdr:colOff>
      <xdr:row>13</xdr:row>
      <xdr:rowOff>0</xdr:rowOff>
    </xdr:from>
    <xdr:to>
      <xdr:col>29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14337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143375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2954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295400" y="328612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057400" y="3286125"/>
          <a:ext cx="441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161925</xdr:colOff>
      <xdr:row>29</xdr:row>
      <xdr:rowOff>0</xdr:rowOff>
    </xdr:to>
    <xdr:sp>
      <xdr:nvSpPr>
        <xdr:cNvPr id="15" name="Arc 15"/>
        <xdr:cNvSpPr>
          <a:spLocks/>
        </xdr:cNvSpPr>
      </xdr:nvSpPr>
      <xdr:spPr>
        <a:xfrm>
          <a:off x="6477000" y="3286125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8293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0</xdr:rowOff>
    </xdr:from>
    <xdr:to>
      <xdr:col>4</xdr:col>
      <xdr:colOff>0</xdr:colOff>
      <xdr:row>29</xdr:row>
      <xdr:rowOff>0</xdr:rowOff>
    </xdr:to>
    <xdr:sp>
      <xdr:nvSpPr>
        <xdr:cNvPr id="17" name="Arc 27"/>
        <xdr:cNvSpPr>
          <a:spLocks/>
        </xdr:cNvSpPr>
      </xdr:nvSpPr>
      <xdr:spPr>
        <a:xfrm flipH="1">
          <a:off x="1095375" y="3286125"/>
          <a:ext cx="2000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1095375" y="3714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114300</xdr:colOff>
      <xdr:row>29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1943100" y="3286125"/>
          <a:ext cx="11430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0</xdr:rowOff>
    </xdr:from>
    <xdr:to>
      <xdr:col>5</xdr:col>
      <xdr:colOff>114300</xdr:colOff>
      <xdr:row>23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14954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5</xdr:col>
      <xdr:colOff>114300</xdr:colOff>
      <xdr:row>30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1495425" y="414337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19</xdr:col>
      <xdr:colOff>114300</xdr:colOff>
      <xdr:row>23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60293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200025</xdr:colOff>
      <xdr:row>22</xdr:row>
      <xdr:rowOff>0</xdr:rowOff>
    </xdr:from>
    <xdr:to>
      <xdr:col>11</xdr:col>
      <xdr:colOff>114300</xdr:colOff>
      <xdr:row>23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34385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161925</xdr:colOff>
      <xdr:row>30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226695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" name="Line 35"/>
        <xdr:cNvSpPr>
          <a:spLocks/>
        </xdr:cNvSpPr>
      </xdr:nvSpPr>
      <xdr:spPr>
        <a:xfrm>
          <a:off x="2914650" y="41433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29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2914650" y="33147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0</xdr:colOff>
      <xdr:row>25</xdr:row>
      <xdr:rowOff>19050</xdr:rowOff>
    </xdr:to>
    <xdr:sp>
      <xdr:nvSpPr>
        <xdr:cNvPr id="27" name="Rectangle 37"/>
        <xdr:cNvSpPr>
          <a:spLocks/>
        </xdr:cNvSpPr>
      </xdr:nvSpPr>
      <xdr:spPr>
        <a:xfrm>
          <a:off x="2590800" y="3448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28</xdr:row>
      <xdr:rowOff>0</xdr:rowOff>
    </xdr:from>
    <xdr:to>
      <xdr:col>10</xdr:col>
      <xdr:colOff>209550</xdr:colOff>
      <xdr:row>29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3124200" y="40005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29" name="Line 39"/>
        <xdr:cNvSpPr>
          <a:spLocks/>
        </xdr:cNvSpPr>
      </xdr:nvSpPr>
      <xdr:spPr>
        <a:xfrm>
          <a:off x="2914650" y="44291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0</xdr:rowOff>
    </xdr:from>
    <xdr:to>
      <xdr:col>11</xdr:col>
      <xdr:colOff>238125</xdr:colOff>
      <xdr:row>30</xdr:row>
      <xdr:rowOff>0</xdr:rowOff>
    </xdr:to>
    <xdr:sp>
      <xdr:nvSpPr>
        <xdr:cNvPr id="30" name="Rectangle 40"/>
        <xdr:cNvSpPr>
          <a:spLocks/>
        </xdr:cNvSpPr>
      </xdr:nvSpPr>
      <xdr:spPr>
        <a:xfrm>
          <a:off x="2505075" y="41433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24</xdr:col>
      <xdr:colOff>0</xdr:colOff>
      <xdr:row>35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71247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809625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16</xdr:col>
      <xdr:colOff>0</xdr:colOff>
      <xdr:row>23</xdr:row>
      <xdr:rowOff>28575</xdr:rowOff>
    </xdr:from>
    <xdr:to>
      <xdr:col>16</xdr:col>
      <xdr:colOff>0</xdr:colOff>
      <xdr:row>28</xdr:row>
      <xdr:rowOff>104775</xdr:rowOff>
    </xdr:to>
    <xdr:sp>
      <xdr:nvSpPr>
        <xdr:cNvPr id="33" name="Line 43"/>
        <xdr:cNvSpPr>
          <a:spLocks/>
        </xdr:cNvSpPr>
      </xdr:nvSpPr>
      <xdr:spPr>
        <a:xfrm>
          <a:off x="51816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29</xdr:row>
      <xdr:rowOff>0</xdr:rowOff>
    </xdr:to>
    <xdr:sp>
      <xdr:nvSpPr>
        <xdr:cNvPr id="34" name="Line 44"/>
        <xdr:cNvSpPr>
          <a:spLocks/>
        </xdr:cNvSpPr>
      </xdr:nvSpPr>
      <xdr:spPr>
        <a:xfrm>
          <a:off x="55054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23</xdr:row>
      <xdr:rowOff>28575</xdr:rowOff>
    </xdr:from>
    <xdr:to>
      <xdr:col>16</xdr:col>
      <xdr:colOff>57150</xdr:colOff>
      <xdr:row>23</xdr:row>
      <xdr:rowOff>28575</xdr:rowOff>
    </xdr:to>
    <xdr:sp>
      <xdr:nvSpPr>
        <xdr:cNvPr id="35" name="Line 45"/>
        <xdr:cNvSpPr>
          <a:spLocks/>
        </xdr:cNvSpPr>
      </xdr:nvSpPr>
      <xdr:spPr>
        <a:xfrm>
          <a:off x="5114925" y="3314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28</xdr:row>
      <xdr:rowOff>104775</xdr:rowOff>
    </xdr:from>
    <xdr:to>
      <xdr:col>16</xdr:col>
      <xdr:colOff>85725</xdr:colOff>
      <xdr:row>28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511492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37" name="Line 47"/>
        <xdr:cNvSpPr>
          <a:spLocks/>
        </xdr:cNvSpPr>
      </xdr:nvSpPr>
      <xdr:spPr>
        <a:xfrm>
          <a:off x="51816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142875</xdr:colOff>
      <xdr:row>22</xdr:row>
      <xdr:rowOff>0</xdr:rowOff>
    </xdr:to>
    <xdr:sp>
      <xdr:nvSpPr>
        <xdr:cNvPr id="38" name="Line 48"/>
        <xdr:cNvSpPr>
          <a:spLocks/>
        </xdr:cNvSpPr>
      </xdr:nvSpPr>
      <xdr:spPr>
        <a:xfrm flipH="1">
          <a:off x="1295400" y="314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142875</xdr:colOff>
      <xdr:row>30</xdr:row>
      <xdr:rowOff>0</xdr:rowOff>
    </xdr:to>
    <xdr:sp>
      <xdr:nvSpPr>
        <xdr:cNvPr id="39" name="Line 49"/>
        <xdr:cNvSpPr>
          <a:spLocks/>
        </xdr:cNvSpPr>
      </xdr:nvSpPr>
      <xdr:spPr>
        <a:xfrm flipH="1">
          <a:off x="1295400" y="4286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30</xdr:row>
      <xdr:rowOff>0</xdr:rowOff>
    </xdr:from>
    <xdr:to>
      <xdr:col>6</xdr:col>
      <xdr:colOff>295275</xdr:colOff>
      <xdr:row>30</xdr:row>
      <xdr:rowOff>0</xdr:rowOff>
    </xdr:to>
    <xdr:sp>
      <xdr:nvSpPr>
        <xdr:cNvPr id="40" name="Line 50"/>
        <xdr:cNvSpPr>
          <a:spLocks/>
        </xdr:cNvSpPr>
      </xdr:nvSpPr>
      <xdr:spPr>
        <a:xfrm flipH="1">
          <a:off x="2162175" y="4286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13</xdr:col>
      <xdr:colOff>142875</xdr:colOff>
      <xdr:row>22</xdr:row>
      <xdr:rowOff>0</xdr:rowOff>
    </xdr:to>
    <xdr:sp>
      <xdr:nvSpPr>
        <xdr:cNvPr id="41" name="Line 51"/>
        <xdr:cNvSpPr>
          <a:spLocks/>
        </xdr:cNvSpPr>
      </xdr:nvSpPr>
      <xdr:spPr>
        <a:xfrm>
          <a:off x="3733800" y="3143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161925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42" name="Line 52"/>
        <xdr:cNvSpPr>
          <a:spLocks/>
        </xdr:cNvSpPr>
      </xdr:nvSpPr>
      <xdr:spPr>
        <a:xfrm>
          <a:off x="631507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0</xdr:rowOff>
    </xdr:from>
    <xdr:to>
      <xdr:col>4</xdr:col>
      <xdr:colOff>38100</xdr:colOff>
      <xdr:row>23</xdr:row>
      <xdr:rowOff>0</xdr:rowOff>
    </xdr:to>
    <xdr:sp>
      <xdr:nvSpPr>
        <xdr:cNvPr id="43" name="Line 53"/>
        <xdr:cNvSpPr>
          <a:spLocks/>
        </xdr:cNvSpPr>
      </xdr:nvSpPr>
      <xdr:spPr>
        <a:xfrm flipV="1">
          <a:off x="13335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38100</xdr:colOff>
      <xdr:row>30</xdr:row>
      <xdr:rowOff>0</xdr:rowOff>
    </xdr:to>
    <xdr:sp>
      <xdr:nvSpPr>
        <xdr:cNvPr id="44" name="Line 54"/>
        <xdr:cNvSpPr>
          <a:spLocks/>
        </xdr:cNvSpPr>
      </xdr:nvSpPr>
      <xdr:spPr>
        <a:xfrm flipV="1">
          <a:off x="1333500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0</xdr:rowOff>
    </xdr:from>
    <xdr:to>
      <xdr:col>6</xdr:col>
      <xdr:colOff>257175</xdr:colOff>
      <xdr:row>30</xdr:row>
      <xdr:rowOff>0</xdr:rowOff>
    </xdr:to>
    <xdr:sp>
      <xdr:nvSpPr>
        <xdr:cNvPr id="45" name="Line 55"/>
        <xdr:cNvSpPr>
          <a:spLocks/>
        </xdr:cNvSpPr>
      </xdr:nvSpPr>
      <xdr:spPr>
        <a:xfrm flipV="1">
          <a:off x="220027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0</xdr:rowOff>
    </xdr:from>
    <xdr:to>
      <xdr:col>11</xdr:col>
      <xdr:colOff>285750</xdr:colOff>
      <xdr:row>23</xdr:row>
      <xdr:rowOff>0</xdr:rowOff>
    </xdr:to>
    <xdr:sp>
      <xdr:nvSpPr>
        <xdr:cNvPr id="46" name="Line 56"/>
        <xdr:cNvSpPr>
          <a:spLocks/>
        </xdr:cNvSpPr>
      </xdr:nvSpPr>
      <xdr:spPr>
        <a:xfrm flipV="1">
          <a:off x="38481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285750</xdr:colOff>
      <xdr:row>22</xdr:row>
      <xdr:rowOff>0</xdr:rowOff>
    </xdr:from>
    <xdr:to>
      <xdr:col>19</xdr:col>
      <xdr:colOff>285750</xdr:colOff>
      <xdr:row>23</xdr:row>
      <xdr:rowOff>0</xdr:rowOff>
    </xdr:to>
    <xdr:sp>
      <xdr:nvSpPr>
        <xdr:cNvPr id="47" name="Line 57"/>
        <xdr:cNvSpPr>
          <a:spLocks/>
        </xdr:cNvSpPr>
      </xdr:nvSpPr>
      <xdr:spPr>
        <a:xfrm flipV="1">
          <a:off x="64389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8" name="Line 58"/>
        <xdr:cNvSpPr>
          <a:spLocks/>
        </xdr:cNvSpPr>
      </xdr:nvSpPr>
      <xdr:spPr>
        <a:xfrm flipH="1"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30</xdr:row>
      <xdr:rowOff>0</xdr:rowOff>
    </xdr:to>
    <xdr:sp>
      <xdr:nvSpPr>
        <xdr:cNvPr id="49" name="Line 59"/>
        <xdr:cNvSpPr>
          <a:spLocks/>
        </xdr:cNvSpPr>
      </xdr:nvSpPr>
      <xdr:spPr>
        <a:xfrm>
          <a:off x="1619250" y="31432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23</xdr:row>
      <xdr:rowOff>47625</xdr:rowOff>
    </xdr:to>
    <xdr:sp>
      <xdr:nvSpPr>
        <xdr:cNvPr id="50" name="Line 60"/>
        <xdr:cNvSpPr>
          <a:spLocks/>
        </xdr:cNvSpPr>
      </xdr:nvSpPr>
      <xdr:spPr>
        <a:xfrm>
          <a:off x="356235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95250</xdr:rowOff>
    </xdr:from>
    <xdr:to>
      <xdr:col>7</xdr:col>
      <xdr:colOff>76200</xdr:colOff>
      <xdr:row>30</xdr:row>
      <xdr:rowOff>9525</xdr:rowOff>
    </xdr:to>
    <xdr:sp>
      <xdr:nvSpPr>
        <xdr:cNvPr id="51" name="Line 61"/>
        <xdr:cNvSpPr>
          <a:spLocks/>
        </xdr:cNvSpPr>
      </xdr:nvSpPr>
      <xdr:spPr>
        <a:xfrm>
          <a:off x="2343150" y="4095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23</xdr:row>
      <xdr:rowOff>38100</xdr:rowOff>
    </xdr:to>
    <xdr:sp>
      <xdr:nvSpPr>
        <xdr:cNvPr id="52" name="Line 62"/>
        <xdr:cNvSpPr>
          <a:spLocks/>
        </xdr:cNvSpPr>
      </xdr:nvSpPr>
      <xdr:spPr>
        <a:xfrm>
          <a:off x="6153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3" name="Line 63"/>
        <xdr:cNvSpPr>
          <a:spLocks/>
        </xdr:cNvSpPr>
      </xdr:nvSpPr>
      <xdr:spPr>
        <a:xfrm>
          <a:off x="1943100" y="371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4" name="Line 64"/>
        <xdr:cNvSpPr>
          <a:spLocks/>
        </xdr:cNvSpPr>
      </xdr:nvSpPr>
      <xdr:spPr>
        <a:xfrm>
          <a:off x="2914650" y="3429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55" name="Line 67"/>
        <xdr:cNvSpPr>
          <a:spLocks/>
        </xdr:cNvSpPr>
      </xdr:nvSpPr>
      <xdr:spPr>
        <a:xfrm>
          <a:off x="582930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66675</xdr:rowOff>
    </xdr:from>
    <xdr:to>
      <xdr:col>19</xdr:col>
      <xdr:colOff>0</xdr:colOff>
      <xdr:row>24</xdr:row>
      <xdr:rowOff>28575</xdr:rowOff>
    </xdr:to>
    <xdr:sp>
      <xdr:nvSpPr>
        <xdr:cNvPr id="56" name="Line 68"/>
        <xdr:cNvSpPr>
          <a:spLocks/>
        </xdr:cNvSpPr>
      </xdr:nvSpPr>
      <xdr:spPr>
        <a:xfrm>
          <a:off x="6153150" y="3352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85725</xdr:rowOff>
    </xdr:from>
    <xdr:to>
      <xdr:col>11</xdr:col>
      <xdr:colOff>0</xdr:colOff>
      <xdr:row>24</xdr:row>
      <xdr:rowOff>38100</xdr:rowOff>
    </xdr:to>
    <xdr:sp>
      <xdr:nvSpPr>
        <xdr:cNvPr id="57" name="Line 69"/>
        <xdr:cNvSpPr>
          <a:spLocks/>
        </xdr:cNvSpPr>
      </xdr:nvSpPr>
      <xdr:spPr>
        <a:xfrm>
          <a:off x="356235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95250</xdr:rowOff>
    </xdr:from>
    <xdr:to>
      <xdr:col>18</xdr:col>
      <xdr:colOff>0</xdr:colOff>
      <xdr:row>28</xdr:row>
      <xdr:rowOff>76200</xdr:rowOff>
    </xdr:to>
    <xdr:sp>
      <xdr:nvSpPr>
        <xdr:cNvPr id="58" name="Line 70"/>
        <xdr:cNvSpPr>
          <a:spLocks/>
        </xdr:cNvSpPr>
      </xdr:nvSpPr>
      <xdr:spPr>
        <a:xfrm>
          <a:off x="5829300" y="33813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47625</xdr:rowOff>
    </xdr:to>
    <xdr:sp>
      <xdr:nvSpPr>
        <xdr:cNvPr id="59" name="Line 71"/>
        <xdr:cNvSpPr>
          <a:spLocks/>
        </xdr:cNvSpPr>
      </xdr:nvSpPr>
      <xdr:spPr>
        <a:xfrm>
          <a:off x="2914650" y="4286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104775</xdr:rowOff>
    </xdr:from>
    <xdr:to>
      <xdr:col>18</xdr:col>
      <xdr:colOff>0</xdr:colOff>
      <xdr:row>31</xdr:row>
      <xdr:rowOff>38100</xdr:rowOff>
    </xdr:to>
    <xdr:sp>
      <xdr:nvSpPr>
        <xdr:cNvPr id="60" name="Line 72"/>
        <xdr:cNvSpPr>
          <a:spLocks/>
        </xdr:cNvSpPr>
      </xdr:nvSpPr>
      <xdr:spPr>
        <a:xfrm>
          <a:off x="5829300" y="4391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104775</xdr:rowOff>
    </xdr:from>
    <xdr:to>
      <xdr:col>5</xdr:col>
      <xdr:colOff>28575</xdr:colOff>
      <xdr:row>22</xdr:row>
      <xdr:rowOff>28575</xdr:rowOff>
    </xdr:to>
    <xdr:sp>
      <xdr:nvSpPr>
        <xdr:cNvPr id="61" name="Oval 73"/>
        <xdr:cNvSpPr>
          <a:spLocks/>
        </xdr:cNvSpPr>
      </xdr:nvSpPr>
      <xdr:spPr>
        <a:xfrm>
          <a:off x="15906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5</xdr:col>
      <xdr:colOff>28575</xdr:colOff>
      <xdr:row>30</xdr:row>
      <xdr:rowOff>28575</xdr:rowOff>
    </xdr:to>
    <xdr:sp>
      <xdr:nvSpPr>
        <xdr:cNvPr id="62" name="Oval 74"/>
        <xdr:cNvSpPr>
          <a:spLocks/>
        </xdr:cNvSpPr>
      </xdr:nvSpPr>
      <xdr:spPr>
        <a:xfrm>
          <a:off x="15906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104775</xdr:rowOff>
    </xdr:from>
    <xdr:to>
      <xdr:col>11</xdr:col>
      <xdr:colOff>19050</xdr:colOff>
      <xdr:row>22</xdr:row>
      <xdr:rowOff>28575</xdr:rowOff>
    </xdr:to>
    <xdr:sp>
      <xdr:nvSpPr>
        <xdr:cNvPr id="63" name="Oval 75"/>
        <xdr:cNvSpPr>
          <a:spLocks/>
        </xdr:cNvSpPr>
      </xdr:nvSpPr>
      <xdr:spPr>
        <a:xfrm>
          <a:off x="352425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104775</xdr:rowOff>
    </xdr:from>
    <xdr:to>
      <xdr:col>7</xdr:col>
      <xdr:colOff>104775</xdr:colOff>
      <xdr:row>30</xdr:row>
      <xdr:rowOff>28575</xdr:rowOff>
    </xdr:to>
    <xdr:sp>
      <xdr:nvSpPr>
        <xdr:cNvPr id="64" name="Oval 76"/>
        <xdr:cNvSpPr>
          <a:spLocks/>
        </xdr:cNvSpPr>
      </xdr:nvSpPr>
      <xdr:spPr>
        <a:xfrm>
          <a:off x="23145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295275</xdr:colOff>
      <xdr:row>21</xdr:row>
      <xdr:rowOff>104775</xdr:rowOff>
    </xdr:from>
    <xdr:to>
      <xdr:col>19</xdr:col>
      <xdr:colOff>28575</xdr:colOff>
      <xdr:row>22</xdr:row>
      <xdr:rowOff>28575</xdr:rowOff>
    </xdr:to>
    <xdr:sp>
      <xdr:nvSpPr>
        <xdr:cNvPr id="65" name="Oval 77"/>
        <xdr:cNvSpPr>
          <a:spLocks/>
        </xdr:cNvSpPr>
      </xdr:nvSpPr>
      <xdr:spPr>
        <a:xfrm>
          <a:off x="61245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76200</xdr:colOff>
      <xdr:row>28</xdr:row>
      <xdr:rowOff>76200</xdr:rowOff>
    </xdr:to>
    <xdr:sp>
      <xdr:nvSpPr>
        <xdr:cNvPr id="66" name="Line 79"/>
        <xdr:cNvSpPr>
          <a:spLocks/>
        </xdr:cNvSpPr>
      </xdr:nvSpPr>
      <xdr:spPr>
        <a:xfrm flipV="1">
          <a:off x="2343150" y="3952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67" name="Line 80"/>
        <xdr:cNvSpPr>
          <a:spLocks/>
        </xdr:cNvSpPr>
      </xdr:nvSpPr>
      <xdr:spPr>
        <a:xfrm flipH="1">
          <a:off x="2343150" y="4000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8" name="Line 81"/>
        <xdr:cNvSpPr>
          <a:spLocks/>
        </xdr:cNvSpPr>
      </xdr:nvSpPr>
      <xdr:spPr>
        <a:xfrm flipH="1">
          <a:off x="600075" y="3286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69" name="Line 82"/>
        <xdr:cNvSpPr>
          <a:spLocks/>
        </xdr:cNvSpPr>
      </xdr:nvSpPr>
      <xdr:spPr>
        <a:xfrm flipH="1">
          <a:off x="600075" y="4143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29</xdr:row>
      <xdr:rowOff>0</xdr:rowOff>
    </xdr:to>
    <xdr:sp>
      <xdr:nvSpPr>
        <xdr:cNvPr id="70" name="Line 83"/>
        <xdr:cNvSpPr>
          <a:spLocks/>
        </xdr:cNvSpPr>
      </xdr:nvSpPr>
      <xdr:spPr>
        <a:xfrm>
          <a:off x="9715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0</xdr:colOff>
      <xdr:row>28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6477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28575</xdr:rowOff>
    </xdr:from>
    <xdr:to>
      <xdr:col>2</xdr:col>
      <xdr:colOff>57150</xdr:colOff>
      <xdr:row>23</xdr:row>
      <xdr:rowOff>28575</xdr:rowOff>
    </xdr:to>
    <xdr:sp>
      <xdr:nvSpPr>
        <xdr:cNvPr id="72" name="Line 85"/>
        <xdr:cNvSpPr>
          <a:spLocks/>
        </xdr:cNvSpPr>
      </xdr:nvSpPr>
      <xdr:spPr>
        <a:xfrm flipH="1">
          <a:off x="600075" y="331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104775</xdr:rowOff>
    </xdr:from>
    <xdr:to>
      <xdr:col>2</xdr:col>
      <xdr:colOff>47625</xdr:colOff>
      <xdr:row>28</xdr:row>
      <xdr:rowOff>104775</xdr:rowOff>
    </xdr:to>
    <xdr:sp>
      <xdr:nvSpPr>
        <xdr:cNvPr id="73" name="Line 86"/>
        <xdr:cNvSpPr>
          <a:spLocks/>
        </xdr:cNvSpPr>
      </xdr:nvSpPr>
      <xdr:spPr>
        <a:xfrm flipH="1">
          <a:off x="600075" y="4105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74" name="Line 87"/>
        <xdr:cNvSpPr>
          <a:spLocks/>
        </xdr:cNvSpPr>
      </xdr:nvSpPr>
      <xdr:spPr>
        <a:xfrm>
          <a:off x="6477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75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17</xdr:col>
      <xdr:colOff>247650</xdr:colOff>
      <xdr:row>29</xdr:row>
      <xdr:rowOff>0</xdr:rowOff>
    </xdr:from>
    <xdr:to>
      <xdr:col>18</xdr:col>
      <xdr:colOff>85725</xdr:colOff>
      <xdr:row>30</xdr:row>
      <xdr:rowOff>0</xdr:rowOff>
    </xdr:to>
    <xdr:sp>
      <xdr:nvSpPr>
        <xdr:cNvPr id="76" name="Rectangle 89"/>
        <xdr:cNvSpPr>
          <a:spLocks/>
        </xdr:cNvSpPr>
      </xdr:nvSpPr>
      <xdr:spPr>
        <a:xfrm>
          <a:off x="575310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77" name="Line 91"/>
        <xdr:cNvSpPr>
          <a:spLocks/>
        </xdr:cNvSpPr>
      </xdr:nvSpPr>
      <xdr:spPr>
        <a:xfrm>
          <a:off x="5972175" y="4286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276225</xdr:colOff>
      <xdr:row>29</xdr:row>
      <xdr:rowOff>0</xdr:rowOff>
    </xdr:from>
    <xdr:to>
      <xdr:col>18</xdr:col>
      <xdr:colOff>276225</xdr:colOff>
      <xdr:row>30</xdr:row>
      <xdr:rowOff>0</xdr:rowOff>
    </xdr:to>
    <xdr:sp>
      <xdr:nvSpPr>
        <xdr:cNvPr id="78" name="Line 92"/>
        <xdr:cNvSpPr>
          <a:spLocks/>
        </xdr:cNvSpPr>
      </xdr:nvSpPr>
      <xdr:spPr>
        <a:xfrm>
          <a:off x="610552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200025</xdr:colOff>
      <xdr:row>22</xdr:row>
      <xdr:rowOff>0</xdr:rowOff>
    </xdr:from>
    <xdr:to>
      <xdr:col>14</xdr:col>
      <xdr:colOff>114300</xdr:colOff>
      <xdr:row>23</xdr:row>
      <xdr:rowOff>0</xdr:rowOff>
    </xdr:to>
    <xdr:sp>
      <xdr:nvSpPr>
        <xdr:cNvPr id="79" name="Rectangle 93"/>
        <xdr:cNvSpPr>
          <a:spLocks/>
        </xdr:cNvSpPr>
      </xdr:nvSpPr>
      <xdr:spPr>
        <a:xfrm>
          <a:off x="44100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sp>
      <xdr:nvSpPr>
        <xdr:cNvPr id="80" name="Line 94"/>
        <xdr:cNvSpPr>
          <a:spLocks/>
        </xdr:cNvSpPr>
      </xdr:nvSpPr>
      <xdr:spPr>
        <a:xfrm>
          <a:off x="453390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85725</xdr:rowOff>
    </xdr:from>
    <xdr:to>
      <xdr:col>14</xdr:col>
      <xdr:colOff>0</xdr:colOff>
      <xdr:row>24</xdr:row>
      <xdr:rowOff>38100</xdr:rowOff>
    </xdr:to>
    <xdr:sp>
      <xdr:nvSpPr>
        <xdr:cNvPr id="81" name="Line 95"/>
        <xdr:cNvSpPr>
          <a:spLocks/>
        </xdr:cNvSpPr>
      </xdr:nvSpPr>
      <xdr:spPr>
        <a:xfrm>
          <a:off x="453390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285750</xdr:colOff>
      <xdr:row>21</xdr:row>
      <xdr:rowOff>104775</xdr:rowOff>
    </xdr:from>
    <xdr:to>
      <xdr:col>14</xdr:col>
      <xdr:colOff>19050</xdr:colOff>
      <xdr:row>22</xdr:row>
      <xdr:rowOff>28575</xdr:rowOff>
    </xdr:to>
    <xdr:sp>
      <xdr:nvSpPr>
        <xdr:cNvPr id="82" name="Oval 96"/>
        <xdr:cNvSpPr>
          <a:spLocks/>
        </xdr:cNvSpPr>
      </xdr:nvSpPr>
      <xdr:spPr>
        <a:xfrm>
          <a:off x="449580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83" name="Line 97"/>
        <xdr:cNvSpPr>
          <a:spLocks/>
        </xdr:cNvSpPr>
      </xdr:nvSpPr>
      <xdr:spPr>
        <a:xfrm>
          <a:off x="35623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104775</xdr:rowOff>
    </xdr:from>
    <xdr:to>
      <xdr:col>18</xdr:col>
      <xdr:colOff>28575</xdr:colOff>
      <xdr:row>30</xdr:row>
      <xdr:rowOff>28575</xdr:rowOff>
    </xdr:to>
    <xdr:sp>
      <xdr:nvSpPr>
        <xdr:cNvPr id="84" name="Oval 98"/>
        <xdr:cNvSpPr>
          <a:spLocks/>
        </xdr:cNvSpPr>
      </xdr:nvSpPr>
      <xdr:spPr>
        <a:xfrm>
          <a:off x="580072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85" name="Rectangle 99"/>
        <xdr:cNvSpPr>
          <a:spLocks/>
        </xdr:cNvSpPr>
      </xdr:nvSpPr>
      <xdr:spPr>
        <a:xfrm>
          <a:off x="25908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0</xdr:colOff>
      <xdr:row>13</xdr:row>
      <xdr:rowOff>0</xdr:rowOff>
    </xdr:from>
    <xdr:to>
      <xdr:col>29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14337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143375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2954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295400" y="328612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057400" y="3286125"/>
          <a:ext cx="441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161925</xdr:colOff>
      <xdr:row>29</xdr:row>
      <xdr:rowOff>0</xdr:rowOff>
    </xdr:to>
    <xdr:sp>
      <xdr:nvSpPr>
        <xdr:cNvPr id="15" name="Arc 15"/>
        <xdr:cNvSpPr>
          <a:spLocks/>
        </xdr:cNvSpPr>
      </xdr:nvSpPr>
      <xdr:spPr>
        <a:xfrm>
          <a:off x="6477000" y="3286125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8293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0</xdr:rowOff>
    </xdr:from>
    <xdr:to>
      <xdr:col>4</xdr:col>
      <xdr:colOff>0</xdr:colOff>
      <xdr:row>29</xdr:row>
      <xdr:rowOff>0</xdr:rowOff>
    </xdr:to>
    <xdr:sp>
      <xdr:nvSpPr>
        <xdr:cNvPr id="17" name="Arc 17"/>
        <xdr:cNvSpPr>
          <a:spLocks/>
        </xdr:cNvSpPr>
      </xdr:nvSpPr>
      <xdr:spPr>
        <a:xfrm flipH="1">
          <a:off x="1095375" y="3286125"/>
          <a:ext cx="2000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5375" y="3714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114300</xdr:colOff>
      <xdr:row>29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3286125"/>
          <a:ext cx="11430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0</xdr:rowOff>
    </xdr:from>
    <xdr:to>
      <xdr:col>5</xdr:col>
      <xdr:colOff>114300</xdr:colOff>
      <xdr:row>23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4954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5</xdr:col>
      <xdr:colOff>114300</xdr:colOff>
      <xdr:row>30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495425" y="414337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19</xdr:col>
      <xdr:colOff>114300</xdr:colOff>
      <xdr:row>23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0293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200025</xdr:colOff>
      <xdr:row>22</xdr:row>
      <xdr:rowOff>0</xdr:rowOff>
    </xdr:from>
    <xdr:to>
      <xdr:col>11</xdr:col>
      <xdr:colOff>114300</xdr:colOff>
      <xdr:row>23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4385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161925</xdr:colOff>
      <xdr:row>30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26695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41433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914650" y="33147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0</xdr:colOff>
      <xdr:row>25</xdr:row>
      <xdr:rowOff>19050</xdr:rowOff>
    </xdr:to>
    <xdr:sp>
      <xdr:nvSpPr>
        <xdr:cNvPr id="27" name="Rectangle 27"/>
        <xdr:cNvSpPr>
          <a:spLocks/>
        </xdr:cNvSpPr>
      </xdr:nvSpPr>
      <xdr:spPr>
        <a:xfrm>
          <a:off x="2590800" y="3448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28</xdr:row>
      <xdr:rowOff>0</xdr:rowOff>
    </xdr:from>
    <xdr:to>
      <xdr:col>10</xdr:col>
      <xdr:colOff>209550</xdr:colOff>
      <xdr:row>29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124200" y="40005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44291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0</xdr:rowOff>
    </xdr:from>
    <xdr:to>
      <xdr:col>11</xdr:col>
      <xdr:colOff>238125</xdr:colOff>
      <xdr:row>30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505075" y="41433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24</xdr:col>
      <xdr:colOff>0</xdr:colOff>
      <xdr:row>35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1247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809625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16</xdr:col>
      <xdr:colOff>0</xdr:colOff>
      <xdr:row>23</xdr:row>
      <xdr:rowOff>28575</xdr:rowOff>
    </xdr:from>
    <xdr:to>
      <xdr:col>16</xdr:col>
      <xdr:colOff>0</xdr:colOff>
      <xdr:row>28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51816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>
          <a:off x="55054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23</xdr:row>
      <xdr:rowOff>28575</xdr:rowOff>
    </xdr:from>
    <xdr:to>
      <xdr:col>16</xdr:col>
      <xdr:colOff>57150</xdr:colOff>
      <xdr:row>23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5114925" y="3314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28</xdr:row>
      <xdr:rowOff>104775</xdr:rowOff>
    </xdr:from>
    <xdr:to>
      <xdr:col>16</xdr:col>
      <xdr:colOff>85725</xdr:colOff>
      <xdr:row>28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511492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37" name="Line 37"/>
        <xdr:cNvSpPr>
          <a:spLocks/>
        </xdr:cNvSpPr>
      </xdr:nvSpPr>
      <xdr:spPr>
        <a:xfrm>
          <a:off x="51816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142875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295400" y="314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142875</xdr:colOff>
      <xdr:row>30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295400" y="4286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30</xdr:row>
      <xdr:rowOff>0</xdr:rowOff>
    </xdr:from>
    <xdr:to>
      <xdr:col>6</xdr:col>
      <xdr:colOff>295275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2162175" y="4286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13</xdr:col>
      <xdr:colOff>142875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3733800" y="3143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161925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631507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0</xdr:rowOff>
    </xdr:from>
    <xdr:to>
      <xdr:col>4</xdr:col>
      <xdr:colOff>38100</xdr:colOff>
      <xdr:row>23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3335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38100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333500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0</xdr:rowOff>
    </xdr:from>
    <xdr:to>
      <xdr:col>6</xdr:col>
      <xdr:colOff>257175</xdr:colOff>
      <xdr:row>30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20027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0</xdr:rowOff>
    </xdr:from>
    <xdr:to>
      <xdr:col>11</xdr:col>
      <xdr:colOff>285750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38481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285750</xdr:colOff>
      <xdr:row>22</xdr:row>
      <xdr:rowOff>0</xdr:rowOff>
    </xdr:from>
    <xdr:to>
      <xdr:col>19</xdr:col>
      <xdr:colOff>285750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64389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30</xdr:row>
      <xdr:rowOff>0</xdr:rowOff>
    </xdr:to>
    <xdr:sp>
      <xdr:nvSpPr>
        <xdr:cNvPr id="49" name="Line 49"/>
        <xdr:cNvSpPr>
          <a:spLocks/>
        </xdr:cNvSpPr>
      </xdr:nvSpPr>
      <xdr:spPr>
        <a:xfrm>
          <a:off x="1619250" y="31432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23</xdr:row>
      <xdr:rowOff>47625</xdr:rowOff>
    </xdr:to>
    <xdr:sp>
      <xdr:nvSpPr>
        <xdr:cNvPr id="50" name="Line 50"/>
        <xdr:cNvSpPr>
          <a:spLocks/>
        </xdr:cNvSpPr>
      </xdr:nvSpPr>
      <xdr:spPr>
        <a:xfrm>
          <a:off x="356235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95250</xdr:rowOff>
    </xdr:from>
    <xdr:to>
      <xdr:col>7</xdr:col>
      <xdr:colOff>76200</xdr:colOff>
      <xdr:row>30</xdr:row>
      <xdr:rowOff>9525</xdr:rowOff>
    </xdr:to>
    <xdr:sp>
      <xdr:nvSpPr>
        <xdr:cNvPr id="51" name="Line 51"/>
        <xdr:cNvSpPr>
          <a:spLocks/>
        </xdr:cNvSpPr>
      </xdr:nvSpPr>
      <xdr:spPr>
        <a:xfrm>
          <a:off x="2343150" y="4095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23</xdr:row>
      <xdr:rowOff>38100</xdr:rowOff>
    </xdr:to>
    <xdr:sp>
      <xdr:nvSpPr>
        <xdr:cNvPr id="52" name="Line 52"/>
        <xdr:cNvSpPr>
          <a:spLocks/>
        </xdr:cNvSpPr>
      </xdr:nvSpPr>
      <xdr:spPr>
        <a:xfrm>
          <a:off x="6153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3" name="Line 53"/>
        <xdr:cNvSpPr>
          <a:spLocks/>
        </xdr:cNvSpPr>
      </xdr:nvSpPr>
      <xdr:spPr>
        <a:xfrm>
          <a:off x="1943100" y="371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4" name="Line 54"/>
        <xdr:cNvSpPr>
          <a:spLocks/>
        </xdr:cNvSpPr>
      </xdr:nvSpPr>
      <xdr:spPr>
        <a:xfrm>
          <a:off x="2914650" y="3429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55" name="Line 55"/>
        <xdr:cNvSpPr>
          <a:spLocks/>
        </xdr:cNvSpPr>
      </xdr:nvSpPr>
      <xdr:spPr>
        <a:xfrm>
          <a:off x="582930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66675</xdr:rowOff>
    </xdr:from>
    <xdr:to>
      <xdr:col>19</xdr:col>
      <xdr:colOff>0</xdr:colOff>
      <xdr:row>24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6153150" y="3352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85725</xdr:rowOff>
    </xdr:from>
    <xdr:to>
      <xdr:col>11</xdr:col>
      <xdr:colOff>0</xdr:colOff>
      <xdr:row>24</xdr:row>
      <xdr:rowOff>38100</xdr:rowOff>
    </xdr:to>
    <xdr:sp>
      <xdr:nvSpPr>
        <xdr:cNvPr id="57" name="Line 57"/>
        <xdr:cNvSpPr>
          <a:spLocks/>
        </xdr:cNvSpPr>
      </xdr:nvSpPr>
      <xdr:spPr>
        <a:xfrm>
          <a:off x="356235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95250</xdr:rowOff>
    </xdr:from>
    <xdr:to>
      <xdr:col>18</xdr:col>
      <xdr:colOff>0</xdr:colOff>
      <xdr:row>28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5829300" y="33813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2914650" y="4286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104775</xdr:rowOff>
    </xdr:from>
    <xdr:to>
      <xdr:col>18</xdr:col>
      <xdr:colOff>0</xdr:colOff>
      <xdr:row>31</xdr:row>
      <xdr:rowOff>38100</xdr:rowOff>
    </xdr:to>
    <xdr:sp>
      <xdr:nvSpPr>
        <xdr:cNvPr id="60" name="Line 60"/>
        <xdr:cNvSpPr>
          <a:spLocks/>
        </xdr:cNvSpPr>
      </xdr:nvSpPr>
      <xdr:spPr>
        <a:xfrm>
          <a:off x="5829300" y="4391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104775</xdr:rowOff>
    </xdr:from>
    <xdr:to>
      <xdr:col>5</xdr:col>
      <xdr:colOff>28575</xdr:colOff>
      <xdr:row>22</xdr:row>
      <xdr:rowOff>28575</xdr:rowOff>
    </xdr:to>
    <xdr:sp>
      <xdr:nvSpPr>
        <xdr:cNvPr id="61" name="Oval 61"/>
        <xdr:cNvSpPr>
          <a:spLocks/>
        </xdr:cNvSpPr>
      </xdr:nvSpPr>
      <xdr:spPr>
        <a:xfrm>
          <a:off x="15906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5</xdr:col>
      <xdr:colOff>28575</xdr:colOff>
      <xdr:row>30</xdr:row>
      <xdr:rowOff>28575</xdr:rowOff>
    </xdr:to>
    <xdr:sp>
      <xdr:nvSpPr>
        <xdr:cNvPr id="62" name="Oval 62"/>
        <xdr:cNvSpPr>
          <a:spLocks/>
        </xdr:cNvSpPr>
      </xdr:nvSpPr>
      <xdr:spPr>
        <a:xfrm>
          <a:off x="15906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104775</xdr:rowOff>
    </xdr:from>
    <xdr:to>
      <xdr:col>11</xdr:col>
      <xdr:colOff>19050</xdr:colOff>
      <xdr:row>22</xdr:row>
      <xdr:rowOff>28575</xdr:rowOff>
    </xdr:to>
    <xdr:sp>
      <xdr:nvSpPr>
        <xdr:cNvPr id="63" name="Oval 63"/>
        <xdr:cNvSpPr>
          <a:spLocks/>
        </xdr:cNvSpPr>
      </xdr:nvSpPr>
      <xdr:spPr>
        <a:xfrm>
          <a:off x="352425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104775</xdr:rowOff>
    </xdr:from>
    <xdr:to>
      <xdr:col>7</xdr:col>
      <xdr:colOff>104775</xdr:colOff>
      <xdr:row>30</xdr:row>
      <xdr:rowOff>28575</xdr:rowOff>
    </xdr:to>
    <xdr:sp>
      <xdr:nvSpPr>
        <xdr:cNvPr id="64" name="Oval 64"/>
        <xdr:cNvSpPr>
          <a:spLocks/>
        </xdr:cNvSpPr>
      </xdr:nvSpPr>
      <xdr:spPr>
        <a:xfrm>
          <a:off x="23145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295275</xdr:colOff>
      <xdr:row>21</xdr:row>
      <xdr:rowOff>104775</xdr:rowOff>
    </xdr:from>
    <xdr:to>
      <xdr:col>19</xdr:col>
      <xdr:colOff>28575</xdr:colOff>
      <xdr:row>22</xdr:row>
      <xdr:rowOff>28575</xdr:rowOff>
    </xdr:to>
    <xdr:sp>
      <xdr:nvSpPr>
        <xdr:cNvPr id="65" name="Oval 65"/>
        <xdr:cNvSpPr>
          <a:spLocks/>
        </xdr:cNvSpPr>
      </xdr:nvSpPr>
      <xdr:spPr>
        <a:xfrm>
          <a:off x="61245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76200</xdr:colOff>
      <xdr:row>28</xdr:row>
      <xdr:rowOff>76200</xdr:rowOff>
    </xdr:to>
    <xdr:sp>
      <xdr:nvSpPr>
        <xdr:cNvPr id="66" name="Line 66"/>
        <xdr:cNvSpPr>
          <a:spLocks/>
        </xdr:cNvSpPr>
      </xdr:nvSpPr>
      <xdr:spPr>
        <a:xfrm flipV="1">
          <a:off x="2343150" y="3952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343150" y="4000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00075" y="3286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600075" y="4143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29</xdr:row>
      <xdr:rowOff>0</xdr:rowOff>
    </xdr:to>
    <xdr:sp>
      <xdr:nvSpPr>
        <xdr:cNvPr id="70" name="Line 70"/>
        <xdr:cNvSpPr>
          <a:spLocks/>
        </xdr:cNvSpPr>
      </xdr:nvSpPr>
      <xdr:spPr>
        <a:xfrm>
          <a:off x="9715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0</xdr:colOff>
      <xdr:row>28</xdr:row>
      <xdr:rowOff>104775</xdr:rowOff>
    </xdr:to>
    <xdr:sp>
      <xdr:nvSpPr>
        <xdr:cNvPr id="71" name="Line 71"/>
        <xdr:cNvSpPr>
          <a:spLocks/>
        </xdr:cNvSpPr>
      </xdr:nvSpPr>
      <xdr:spPr>
        <a:xfrm>
          <a:off x="6477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28575</xdr:rowOff>
    </xdr:from>
    <xdr:to>
      <xdr:col>2</xdr:col>
      <xdr:colOff>57150</xdr:colOff>
      <xdr:row>23</xdr:row>
      <xdr:rowOff>28575</xdr:rowOff>
    </xdr:to>
    <xdr:sp>
      <xdr:nvSpPr>
        <xdr:cNvPr id="72" name="Line 72"/>
        <xdr:cNvSpPr>
          <a:spLocks/>
        </xdr:cNvSpPr>
      </xdr:nvSpPr>
      <xdr:spPr>
        <a:xfrm flipH="1">
          <a:off x="600075" y="331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104775</xdr:rowOff>
    </xdr:from>
    <xdr:to>
      <xdr:col>2</xdr:col>
      <xdr:colOff>47625</xdr:colOff>
      <xdr:row>28</xdr:row>
      <xdr:rowOff>104775</xdr:rowOff>
    </xdr:to>
    <xdr:sp>
      <xdr:nvSpPr>
        <xdr:cNvPr id="73" name="Line 73"/>
        <xdr:cNvSpPr>
          <a:spLocks/>
        </xdr:cNvSpPr>
      </xdr:nvSpPr>
      <xdr:spPr>
        <a:xfrm flipH="1">
          <a:off x="600075" y="4105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74" name="Line 74"/>
        <xdr:cNvSpPr>
          <a:spLocks/>
        </xdr:cNvSpPr>
      </xdr:nvSpPr>
      <xdr:spPr>
        <a:xfrm>
          <a:off x="6477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75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17</xdr:col>
      <xdr:colOff>247650</xdr:colOff>
      <xdr:row>29</xdr:row>
      <xdr:rowOff>0</xdr:rowOff>
    </xdr:from>
    <xdr:to>
      <xdr:col>18</xdr:col>
      <xdr:colOff>85725</xdr:colOff>
      <xdr:row>30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575310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77" name="Line 77"/>
        <xdr:cNvSpPr>
          <a:spLocks/>
        </xdr:cNvSpPr>
      </xdr:nvSpPr>
      <xdr:spPr>
        <a:xfrm>
          <a:off x="5972175" y="4286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276225</xdr:colOff>
      <xdr:row>29</xdr:row>
      <xdr:rowOff>0</xdr:rowOff>
    </xdr:from>
    <xdr:to>
      <xdr:col>18</xdr:col>
      <xdr:colOff>276225</xdr:colOff>
      <xdr:row>30</xdr:row>
      <xdr:rowOff>0</xdr:rowOff>
    </xdr:to>
    <xdr:sp>
      <xdr:nvSpPr>
        <xdr:cNvPr id="78" name="Line 78"/>
        <xdr:cNvSpPr>
          <a:spLocks/>
        </xdr:cNvSpPr>
      </xdr:nvSpPr>
      <xdr:spPr>
        <a:xfrm>
          <a:off x="610552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200025</xdr:colOff>
      <xdr:row>22</xdr:row>
      <xdr:rowOff>0</xdr:rowOff>
    </xdr:from>
    <xdr:to>
      <xdr:col>14</xdr:col>
      <xdr:colOff>114300</xdr:colOff>
      <xdr:row>23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44100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sp>
      <xdr:nvSpPr>
        <xdr:cNvPr id="80" name="Line 80"/>
        <xdr:cNvSpPr>
          <a:spLocks/>
        </xdr:cNvSpPr>
      </xdr:nvSpPr>
      <xdr:spPr>
        <a:xfrm>
          <a:off x="453390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85725</xdr:rowOff>
    </xdr:from>
    <xdr:to>
      <xdr:col>14</xdr:col>
      <xdr:colOff>0</xdr:colOff>
      <xdr:row>24</xdr:row>
      <xdr:rowOff>38100</xdr:rowOff>
    </xdr:to>
    <xdr:sp>
      <xdr:nvSpPr>
        <xdr:cNvPr id="81" name="Line 81"/>
        <xdr:cNvSpPr>
          <a:spLocks/>
        </xdr:cNvSpPr>
      </xdr:nvSpPr>
      <xdr:spPr>
        <a:xfrm>
          <a:off x="453390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285750</xdr:colOff>
      <xdr:row>21</xdr:row>
      <xdr:rowOff>104775</xdr:rowOff>
    </xdr:from>
    <xdr:to>
      <xdr:col>14</xdr:col>
      <xdr:colOff>19050</xdr:colOff>
      <xdr:row>22</xdr:row>
      <xdr:rowOff>28575</xdr:rowOff>
    </xdr:to>
    <xdr:sp>
      <xdr:nvSpPr>
        <xdr:cNvPr id="82" name="Oval 82"/>
        <xdr:cNvSpPr>
          <a:spLocks/>
        </xdr:cNvSpPr>
      </xdr:nvSpPr>
      <xdr:spPr>
        <a:xfrm>
          <a:off x="449580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83" name="Line 83"/>
        <xdr:cNvSpPr>
          <a:spLocks/>
        </xdr:cNvSpPr>
      </xdr:nvSpPr>
      <xdr:spPr>
        <a:xfrm>
          <a:off x="35623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104775</xdr:rowOff>
    </xdr:from>
    <xdr:to>
      <xdr:col>18</xdr:col>
      <xdr:colOff>28575</xdr:colOff>
      <xdr:row>30</xdr:row>
      <xdr:rowOff>28575</xdr:rowOff>
    </xdr:to>
    <xdr:sp>
      <xdr:nvSpPr>
        <xdr:cNvPr id="84" name="Oval 84"/>
        <xdr:cNvSpPr>
          <a:spLocks/>
        </xdr:cNvSpPr>
      </xdr:nvSpPr>
      <xdr:spPr>
        <a:xfrm>
          <a:off x="580072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219075</xdr:colOff>
      <xdr:row>28</xdr:row>
      <xdr:rowOff>95250</xdr:rowOff>
    </xdr:from>
    <xdr:to>
      <xdr:col>9</xdr:col>
      <xdr:colOff>114300</xdr:colOff>
      <xdr:row>31</xdr:row>
      <xdr:rowOff>0</xdr:rowOff>
    </xdr:to>
    <xdr:grpSp>
      <xdr:nvGrpSpPr>
        <xdr:cNvPr id="85" name="Group 93"/>
        <xdr:cNvGrpSpPr>
          <a:grpSpLocks/>
        </xdr:cNvGrpSpPr>
      </xdr:nvGrpSpPr>
      <xdr:grpSpPr>
        <a:xfrm>
          <a:off x="28098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86" name="Line 94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95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Line 96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9" name="AutoShape 97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38100</xdr:rowOff>
    </xdr:to>
    <xdr:sp>
      <xdr:nvSpPr>
        <xdr:cNvPr id="90" name="Line 98"/>
        <xdr:cNvSpPr>
          <a:spLocks/>
        </xdr:cNvSpPr>
      </xdr:nvSpPr>
      <xdr:spPr>
        <a:xfrm flipV="1">
          <a:off x="2914650" y="4286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95250</xdr:rowOff>
    </xdr:from>
    <xdr:to>
      <xdr:col>9</xdr:col>
      <xdr:colOff>0</xdr:colOff>
      <xdr:row>34</xdr:row>
      <xdr:rowOff>38100</xdr:rowOff>
    </xdr:to>
    <xdr:sp>
      <xdr:nvSpPr>
        <xdr:cNvPr id="91" name="Line 99"/>
        <xdr:cNvSpPr>
          <a:spLocks/>
        </xdr:cNvSpPr>
      </xdr:nvSpPr>
      <xdr:spPr>
        <a:xfrm>
          <a:off x="2914650" y="4524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2" name="Rectangle 100"/>
        <xdr:cNvSpPr>
          <a:spLocks/>
        </xdr:cNvSpPr>
      </xdr:nvSpPr>
      <xdr:spPr>
        <a:xfrm>
          <a:off x="25908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0</xdr:colOff>
      <xdr:row>13</xdr:row>
      <xdr:rowOff>0</xdr:rowOff>
    </xdr:from>
    <xdr:to>
      <xdr:col>29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14337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143375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2057400" y="3286125"/>
          <a:ext cx="441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161925</xdr:colOff>
      <xdr:row>29</xdr:row>
      <xdr:rowOff>0</xdr:rowOff>
    </xdr:to>
    <xdr:sp>
      <xdr:nvSpPr>
        <xdr:cNvPr id="13" name="Arc 15"/>
        <xdr:cNvSpPr>
          <a:spLocks/>
        </xdr:cNvSpPr>
      </xdr:nvSpPr>
      <xdr:spPr>
        <a:xfrm>
          <a:off x="6477000" y="3286125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14" name="Line 16"/>
        <xdr:cNvSpPr>
          <a:spLocks/>
        </xdr:cNvSpPr>
      </xdr:nvSpPr>
      <xdr:spPr>
        <a:xfrm>
          <a:off x="58293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19</xdr:col>
      <xdr:colOff>114300</xdr:colOff>
      <xdr:row>23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60293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200025</xdr:colOff>
      <xdr:row>22</xdr:row>
      <xdr:rowOff>0</xdr:rowOff>
    </xdr:from>
    <xdr:to>
      <xdr:col>11</xdr:col>
      <xdr:colOff>114300</xdr:colOff>
      <xdr:row>23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34385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161925</xdr:colOff>
      <xdr:row>30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226695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8" name="Line 25"/>
        <xdr:cNvSpPr>
          <a:spLocks/>
        </xdr:cNvSpPr>
      </xdr:nvSpPr>
      <xdr:spPr>
        <a:xfrm>
          <a:off x="2914650" y="41433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29</xdr:row>
      <xdr:rowOff>0</xdr:rowOff>
    </xdr:to>
    <xdr:sp>
      <xdr:nvSpPr>
        <xdr:cNvPr id="19" name="Line 26"/>
        <xdr:cNvSpPr>
          <a:spLocks/>
        </xdr:cNvSpPr>
      </xdr:nvSpPr>
      <xdr:spPr>
        <a:xfrm flipV="1">
          <a:off x="2914650" y="33147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0</xdr:colOff>
      <xdr:row>25</xdr:row>
      <xdr:rowOff>19050</xdr:rowOff>
    </xdr:to>
    <xdr:sp>
      <xdr:nvSpPr>
        <xdr:cNvPr id="20" name="Rectangle 27"/>
        <xdr:cNvSpPr>
          <a:spLocks/>
        </xdr:cNvSpPr>
      </xdr:nvSpPr>
      <xdr:spPr>
        <a:xfrm>
          <a:off x="2590800" y="3448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28</xdr:row>
      <xdr:rowOff>0</xdr:rowOff>
    </xdr:from>
    <xdr:to>
      <xdr:col>10</xdr:col>
      <xdr:colOff>209550</xdr:colOff>
      <xdr:row>29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3124200" y="40005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22" name="Line 29"/>
        <xdr:cNvSpPr>
          <a:spLocks/>
        </xdr:cNvSpPr>
      </xdr:nvSpPr>
      <xdr:spPr>
        <a:xfrm>
          <a:off x="2914650" y="44291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0</xdr:rowOff>
    </xdr:from>
    <xdr:to>
      <xdr:col>11</xdr:col>
      <xdr:colOff>238125</xdr:colOff>
      <xdr:row>30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2505075" y="41433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24</xdr:col>
      <xdr:colOff>0</xdr:colOff>
      <xdr:row>35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71247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809625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16</xdr:col>
      <xdr:colOff>0</xdr:colOff>
      <xdr:row>23</xdr:row>
      <xdr:rowOff>28575</xdr:rowOff>
    </xdr:from>
    <xdr:to>
      <xdr:col>16</xdr:col>
      <xdr:colOff>0</xdr:colOff>
      <xdr:row>28</xdr:row>
      <xdr:rowOff>104775</xdr:rowOff>
    </xdr:to>
    <xdr:sp>
      <xdr:nvSpPr>
        <xdr:cNvPr id="26" name="Line 33"/>
        <xdr:cNvSpPr>
          <a:spLocks/>
        </xdr:cNvSpPr>
      </xdr:nvSpPr>
      <xdr:spPr>
        <a:xfrm>
          <a:off x="51816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29</xdr:row>
      <xdr:rowOff>0</xdr:rowOff>
    </xdr:to>
    <xdr:sp>
      <xdr:nvSpPr>
        <xdr:cNvPr id="27" name="Line 34"/>
        <xdr:cNvSpPr>
          <a:spLocks/>
        </xdr:cNvSpPr>
      </xdr:nvSpPr>
      <xdr:spPr>
        <a:xfrm>
          <a:off x="55054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23</xdr:row>
      <xdr:rowOff>28575</xdr:rowOff>
    </xdr:from>
    <xdr:to>
      <xdr:col>16</xdr:col>
      <xdr:colOff>57150</xdr:colOff>
      <xdr:row>23</xdr:row>
      <xdr:rowOff>28575</xdr:rowOff>
    </xdr:to>
    <xdr:sp>
      <xdr:nvSpPr>
        <xdr:cNvPr id="28" name="Line 35"/>
        <xdr:cNvSpPr>
          <a:spLocks/>
        </xdr:cNvSpPr>
      </xdr:nvSpPr>
      <xdr:spPr>
        <a:xfrm>
          <a:off x="5114925" y="3314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28</xdr:row>
      <xdr:rowOff>104775</xdr:rowOff>
    </xdr:from>
    <xdr:to>
      <xdr:col>16</xdr:col>
      <xdr:colOff>85725</xdr:colOff>
      <xdr:row>28</xdr:row>
      <xdr:rowOff>104775</xdr:rowOff>
    </xdr:to>
    <xdr:sp>
      <xdr:nvSpPr>
        <xdr:cNvPr id="29" name="Line 36"/>
        <xdr:cNvSpPr>
          <a:spLocks/>
        </xdr:cNvSpPr>
      </xdr:nvSpPr>
      <xdr:spPr>
        <a:xfrm>
          <a:off x="511492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30" name="Line 37"/>
        <xdr:cNvSpPr>
          <a:spLocks/>
        </xdr:cNvSpPr>
      </xdr:nvSpPr>
      <xdr:spPr>
        <a:xfrm>
          <a:off x="51816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30</xdr:row>
      <xdr:rowOff>0</xdr:rowOff>
    </xdr:from>
    <xdr:to>
      <xdr:col>6</xdr:col>
      <xdr:colOff>295275</xdr:colOff>
      <xdr:row>30</xdr:row>
      <xdr:rowOff>0</xdr:rowOff>
    </xdr:to>
    <xdr:sp>
      <xdr:nvSpPr>
        <xdr:cNvPr id="31" name="Line 40"/>
        <xdr:cNvSpPr>
          <a:spLocks/>
        </xdr:cNvSpPr>
      </xdr:nvSpPr>
      <xdr:spPr>
        <a:xfrm flipH="1">
          <a:off x="2162175" y="4286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13</xdr:col>
      <xdr:colOff>142875</xdr:colOff>
      <xdr:row>22</xdr:row>
      <xdr:rowOff>0</xdr:rowOff>
    </xdr:to>
    <xdr:sp>
      <xdr:nvSpPr>
        <xdr:cNvPr id="32" name="Line 41"/>
        <xdr:cNvSpPr>
          <a:spLocks/>
        </xdr:cNvSpPr>
      </xdr:nvSpPr>
      <xdr:spPr>
        <a:xfrm>
          <a:off x="3733800" y="3143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161925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33" name="Line 42"/>
        <xdr:cNvSpPr>
          <a:spLocks/>
        </xdr:cNvSpPr>
      </xdr:nvSpPr>
      <xdr:spPr>
        <a:xfrm>
          <a:off x="631507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0</xdr:rowOff>
    </xdr:from>
    <xdr:to>
      <xdr:col>6</xdr:col>
      <xdr:colOff>257175</xdr:colOff>
      <xdr:row>30</xdr:row>
      <xdr:rowOff>0</xdr:rowOff>
    </xdr:to>
    <xdr:sp>
      <xdr:nvSpPr>
        <xdr:cNvPr id="34" name="Line 45"/>
        <xdr:cNvSpPr>
          <a:spLocks/>
        </xdr:cNvSpPr>
      </xdr:nvSpPr>
      <xdr:spPr>
        <a:xfrm flipV="1">
          <a:off x="220027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0</xdr:rowOff>
    </xdr:from>
    <xdr:to>
      <xdr:col>11</xdr:col>
      <xdr:colOff>285750</xdr:colOff>
      <xdr:row>23</xdr:row>
      <xdr:rowOff>0</xdr:rowOff>
    </xdr:to>
    <xdr:sp>
      <xdr:nvSpPr>
        <xdr:cNvPr id="35" name="Line 46"/>
        <xdr:cNvSpPr>
          <a:spLocks/>
        </xdr:cNvSpPr>
      </xdr:nvSpPr>
      <xdr:spPr>
        <a:xfrm flipV="1">
          <a:off x="38481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285750</xdr:colOff>
      <xdr:row>22</xdr:row>
      <xdr:rowOff>0</xdr:rowOff>
    </xdr:from>
    <xdr:to>
      <xdr:col>19</xdr:col>
      <xdr:colOff>285750</xdr:colOff>
      <xdr:row>23</xdr:row>
      <xdr:rowOff>0</xdr:rowOff>
    </xdr:to>
    <xdr:sp>
      <xdr:nvSpPr>
        <xdr:cNvPr id="36" name="Line 47"/>
        <xdr:cNvSpPr>
          <a:spLocks/>
        </xdr:cNvSpPr>
      </xdr:nvSpPr>
      <xdr:spPr>
        <a:xfrm flipV="1">
          <a:off x="64389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48"/>
        <xdr:cNvSpPr>
          <a:spLocks/>
        </xdr:cNvSpPr>
      </xdr:nvSpPr>
      <xdr:spPr>
        <a:xfrm flipH="1"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23</xdr:row>
      <xdr:rowOff>47625</xdr:rowOff>
    </xdr:to>
    <xdr:sp>
      <xdr:nvSpPr>
        <xdr:cNvPr id="38" name="Line 50"/>
        <xdr:cNvSpPr>
          <a:spLocks/>
        </xdr:cNvSpPr>
      </xdr:nvSpPr>
      <xdr:spPr>
        <a:xfrm>
          <a:off x="356235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95250</xdr:rowOff>
    </xdr:from>
    <xdr:to>
      <xdr:col>7</xdr:col>
      <xdr:colOff>76200</xdr:colOff>
      <xdr:row>30</xdr:row>
      <xdr:rowOff>9525</xdr:rowOff>
    </xdr:to>
    <xdr:sp>
      <xdr:nvSpPr>
        <xdr:cNvPr id="39" name="Line 51"/>
        <xdr:cNvSpPr>
          <a:spLocks/>
        </xdr:cNvSpPr>
      </xdr:nvSpPr>
      <xdr:spPr>
        <a:xfrm>
          <a:off x="2343150" y="4095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23</xdr:row>
      <xdr:rowOff>38100</xdr:rowOff>
    </xdr:to>
    <xdr:sp>
      <xdr:nvSpPr>
        <xdr:cNvPr id="40" name="Line 52"/>
        <xdr:cNvSpPr>
          <a:spLocks/>
        </xdr:cNvSpPr>
      </xdr:nvSpPr>
      <xdr:spPr>
        <a:xfrm>
          <a:off x="6153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1" name="Line 54"/>
        <xdr:cNvSpPr>
          <a:spLocks/>
        </xdr:cNvSpPr>
      </xdr:nvSpPr>
      <xdr:spPr>
        <a:xfrm>
          <a:off x="2914650" y="3429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2" name="Line 55"/>
        <xdr:cNvSpPr>
          <a:spLocks/>
        </xdr:cNvSpPr>
      </xdr:nvSpPr>
      <xdr:spPr>
        <a:xfrm>
          <a:off x="582930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66675</xdr:rowOff>
    </xdr:from>
    <xdr:to>
      <xdr:col>19</xdr:col>
      <xdr:colOff>0</xdr:colOff>
      <xdr:row>24</xdr:row>
      <xdr:rowOff>28575</xdr:rowOff>
    </xdr:to>
    <xdr:sp>
      <xdr:nvSpPr>
        <xdr:cNvPr id="43" name="Line 56"/>
        <xdr:cNvSpPr>
          <a:spLocks/>
        </xdr:cNvSpPr>
      </xdr:nvSpPr>
      <xdr:spPr>
        <a:xfrm>
          <a:off x="6153150" y="3352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85725</xdr:rowOff>
    </xdr:from>
    <xdr:to>
      <xdr:col>11</xdr:col>
      <xdr:colOff>0</xdr:colOff>
      <xdr:row>24</xdr:row>
      <xdr:rowOff>38100</xdr:rowOff>
    </xdr:to>
    <xdr:sp>
      <xdr:nvSpPr>
        <xdr:cNvPr id="44" name="Line 57"/>
        <xdr:cNvSpPr>
          <a:spLocks/>
        </xdr:cNvSpPr>
      </xdr:nvSpPr>
      <xdr:spPr>
        <a:xfrm>
          <a:off x="356235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95250</xdr:rowOff>
    </xdr:from>
    <xdr:to>
      <xdr:col>18</xdr:col>
      <xdr:colOff>0</xdr:colOff>
      <xdr:row>28</xdr:row>
      <xdr:rowOff>76200</xdr:rowOff>
    </xdr:to>
    <xdr:sp>
      <xdr:nvSpPr>
        <xdr:cNvPr id="45" name="Line 58"/>
        <xdr:cNvSpPr>
          <a:spLocks/>
        </xdr:cNvSpPr>
      </xdr:nvSpPr>
      <xdr:spPr>
        <a:xfrm>
          <a:off x="5829300" y="33813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47625</xdr:rowOff>
    </xdr:to>
    <xdr:sp>
      <xdr:nvSpPr>
        <xdr:cNvPr id="46" name="Line 59"/>
        <xdr:cNvSpPr>
          <a:spLocks/>
        </xdr:cNvSpPr>
      </xdr:nvSpPr>
      <xdr:spPr>
        <a:xfrm>
          <a:off x="2914650" y="4286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104775</xdr:rowOff>
    </xdr:from>
    <xdr:to>
      <xdr:col>18</xdr:col>
      <xdr:colOff>0</xdr:colOff>
      <xdr:row>31</xdr:row>
      <xdr:rowOff>38100</xdr:rowOff>
    </xdr:to>
    <xdr:sp>
      <xdr:nvSpPr>
        <xdr:cNvPr id="47" name="Line 60"/>
        <xdr:cNvSpPr>
          <a:spLocks/>
        </xdr:cNvSpPr>
      </xdr:nvSpPr>
      <xdr:spPr>
        <a:xfrm>
          <a:off x="5829300" y="4391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104775</xdr:rowOff>
    </xdr:from>
    <xdr:to>
      <xdr:col>11</xdr:col>
      <xdr:colOff>19050</xdr:colOff>
      <xdr:row>22</xdr:row>
      <xdr:rowOff>28575</xdr:rowOff>
    </xdr:to>
    <xdr:sp>
      <xdr:nvSpPr>
        <xdr:cNvPr id="48" name="Oval 63"/>
        <xdr:cNvSpPr>
          <a:spLocks/>
        </xdr:cNvSpPr>
      </xdr:nvSpPr>
      <xdr:spPr>
        <a:xfrm>
          <a:off x="352425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104775</xdr:rowOff>
    </xdr:from>
    <xdr:to>
      <xdr:col>7</xdr:col>
      <xdr:colOff>104775</xdr:colOff>
      <xdr:row>30</xdr:row>
      <xdr:rowOff>28575</xdr:rowOff>
    </xdr:to>
    <xdr:sp>
      <xdr:nvSpPr>
        <xdr:cNvPr id="49" name="Oval 64"/>
        <xdr:cNvSpPr>
          <a:spLocks/>
        </xdr:cNvSpPr>
      </xdr:nvSpPr>
      <xdr:spPr>
        <a:xfrm>
          <a:off x="23145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295275</xdr:colOff>
      <xdr:row>21</xdr:row>
      <xdr:rowOff>104775</xdr:rowOff>
    </xdr:from>
    <xdr:to>
      <xdr:col>19</xdr:col>
      <xdr:colOff>28575</xdr:colOff>
      <xdr:row>22</xdr:row>
      <xdr:rowOff>28575</xdr:rowOff>
    </xdr:to>
    <xdr:sp>
      <xdr:nvSpPr>
        <xdr:cNvPr id="50" name="Oval 65"/>
        <xdr:cNvSpPr>
          <a:spLocks/>
        </xdr:cNvSpPr>
      </xdr:nvSpPr>
      <xdr:spPr>
        <a:xfrm>
          <a:off x="61245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76200</xdr:colOff>
      <xdr:row>28</xdr:row>
      <xdr:rowOff>76200</xdr:rowOff>
    </xdr:to>
    <xdr:sp>
      <xdr:nvSpPr>
        <xdr:cNvPr id="51" name="Line 66"/>
        <xdr:cNvSpPr>
          <a:spLocks/>
        </xdr:cNvSpPr>
      </xdr:nvSpPr>
      <xdr:spPr>
        <a:xfrm flipV="1">
          <a:off x="2343150" y="3952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2" name="Line 67"/>
        <xdr:cNvSpPr>
          <a:spLocks/>
        </xdr:cNvSpPr>
      </xdr:nvSpPr>
      <xdr:spPr>
        <a:xfrm flipH="1">
          <a:off x="2343150" y="4000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53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17</xdr:col>
      <xdr:colOff>247650</xdr:colOff>
      <xdr:row>29</xdr:row>
      <xdr:rowOff>0</xdr:rowOff>
    </xdr:from>
    <xdr:to>
      <xdr:col>18</xdr:col>
      <xdr:colOff>85725</xdr:colOff>
      <xdr:row>30</xdr:row>
      <xdr:rowOff>0</xdr:rowOff>
    </xdr:to>
    <xdr:sp>
      <xdr:nvSpPr>
        <xdr:cNvPr id="54" name="Rectangle 76"/>
        <xdr:cNvSpPr>
          <a:spLocks/>
        </xdr:cNvSpPr>
      </xdr:nvSpPr>
      <xdr:spPr>
        <a:xfrm>
          <a:off x="575310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55" name="Line 77"/>
        <xdr:cNvSpPr>
          <a:spLocks/>
        </xdr:cNvSpPr>
      </xdr:nvSpPr>
      <xdr:spPr>
        <a:xfrm>
          <a:off x="5972175" y="4286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276225</xdr:colOff>
      <xdr:row>29</xdr:row>
      <xdr:rowOff>0</xdr:rowOff>
    </xdr:from>
    <xdr:to>
      <xdr:col>18</xdr:col>
      <xdr:colOff>276225</xdr:colOff>
      <xdr:row>30</xdr:row>
      <xdr:rowOff>0</xdr:rowOff>
    </xdr:to>
    <xdr:sp>
      <xdr:nvSpPr>
        <xdr:cNvPr id="56" name="Line 78"/>
        <xdr:cNvSpPr>
          <a:spLocks/>
        </xdr:cNvSpPr>
      </xdr:nvSpPr>
      <xdr:spPr>
        <a:xfrm>
          <a:off x="610552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200025</xdr:colOff>
      <xdr:row>22</xdr:row>
      <xdr:rowOff>0</xdr:rowOff>
    </xdr:from>
    <xdr:to>
      <xdr:col>14</xdr:col>
      <xdr:colOff>114300</xdr:colOff>
      <xdr:row>23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44100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sp>
      <xdr:nvSpPr>
        <xdr:cNvPr id="58" name="Line 80"/>
        <xdr:cNvSpPr>
          <a:spLocks/>
        </xdr:cNvSpPr>
      </xdr:nvSpPr>
      <xdr:spPr>
        <a:xfrm>
          <a:off x="453390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85725</xdr:rowOff>
    </xdr:from>
    <xdr:to>
      <xdr:col>14</xdr:col>
      <xdr:colOff>0</xdr:colOff>
      <xdr:row>24</xdr:row>
      <xdr:rowOff>38100</xdr:rowOff>
    </xdr:to>
    <xdr:sp>
      <xdr:nvSpPr>
        <xdr:cNvPr id="59" name="Line 81"/>
        <xdr:cNvSpPr>
          <a:spLocks/>
        </xdr:cNvSpPr>
      </xdr:nvSpPr>
      <xdr:spPr>
        <a:xfrm>
          <a:off x="453390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285750</xdr:colOff>
      <xdr:row>21</xdr:row>
      <xdr:rowOff>104775</xdr:rowOff>
    </xdr:from>
    <xdr:to>
      <xdr:col>14</xdr:col>
      <xdr:colOff>19050</xdr:colOff>
      <xdr:row>22</xdr:row>
      <xdr:rowOff>28575</xdr:rowOff>
    </xdr:to>
    <xdr:sp>
      <xdr:nvSpPr>
        <xdr:cNvPr id="60" name="Oval 82"/>
        <xdr:cNvSpPr>
          <a:spLocks/>
        </xdr:cNvSpPr>
      </xdr:nvSpPr>
      <xdr:spPr>
        <a:xfrm>
          <a:off x="449580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1" name="Line 83"/>
        <xdr:cNvSpPr>
          <a:spLocks/>
        </xdr:cNvSpPr>
      </xdr:nvSpPr>
      <xdr:spPr>
        <a:xfrm>
          <a:off x="35623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104775</xdr:rowOff>
    </xdr:from>
    <xdr:to>
      <xdr:col>18</xdr:col>
      <xdr:colOff>28575</xdr:colOff>
      <xdr:row>30</xdr:row>
      <xdr:rowOff>28575</xdr:rowOff>
    </xdr:to>
    <xdr:sp>
      <xdr:nvSpPr>
        <xdr:cNvPr id="62" name="Oval 84"/>
        <xdr:cNvSpPr>
          <a:spLocks/>
        </xdr:cNvSpPr>
      </xdr:nvSpPr>
      <xdr:spPr>
        <a:xfrm>
          <a:off x="580072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123825</xdr:colOff>
      <xdr:row>29</xdr:row>
      <xdr:rowOff>38100</xdr:rowOff>
    </xdr:to>
    <xdr:sp>
      <xdr:nvSpPr>
        <xdr:cNvPr id="63" name="Rectangle 85"/>
        <xdr:cNvSpPr>
          <a:spLocks/>
        </xdr:cNvSpPr>
      </xdr:nvSpPr>
      <xdr:spPr>
        <a:xfrm>
          <a:off x="1943100" y="3238500"/>
          <a:ext cx="123825" cy="942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9525</xdr:rowOff>
    </xdr:from>
    <xdr:to>
      <xdr:col>5</xdr:col>
      <xdr:colOff>114300</xdr:colOff>
      <xdr:row>23</xdr:row>
      <xdr:rowOff>9525</xdr:rowOff>
    </xdr:to>
    <xdr:sp>
      <xdr:nvSpPr>
        <xdr:cNvPr id="64" name="Rectangle 90"/>
        <xdr:cNvSpPr>
          <a:spLocks/>
        </xdr:cNvSpPr>
      </xdr:nvSpPr>
      <xdr:spPr>
        <a:xfrm rot="19684313">
          <a:off x="1590675" y="3152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219075</xdr:colOff>
      <xdr:row>22</xdr:row>
      <xdr:rowOff>95250</xdr:rowOff>
    </xdr:from>
    <xdr:to>
      <xdr:col>6</xdr:col>
      <xdr:colOff>9525</xdr:colOff>
      <xdr:row>22</xdr:row>
      <xdr:rowOff>95250</xdr:rowOff>
    </xdr:to>
    <xdr:sp>
      <xdr:nvSpPr>
        <xdr:cNvPr id="65" name="Line 91"/>
        <xdr:cNvSpPr>
          <a:spLocks/>
        </xdr:cNvSpPr>
      </xdr:nvSpPr>
      <xdr:spPr>
        <a:xfrm flipV="1">
          <a:off x="1838325" y="32385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200025</xdr:colOff>
      <xdr:row>29</xdr:row>
      <xdr:rowOff>38100</xdr:rowOff>
    </xdr:from>
    <xdr:to>
      <xdr:col>5</xdr:col>
      <xdr:colOff>314325</xdr:colOff>
      <xdr:row>29</xdr:row>
      <xdr:rowOff>38100</xdr:rowOff>
    </xdr:to>
    <xdr:sp>
      <xdr:nvSpPr>
        <xdr:cNvPr id="66" name="Line 92"/>
        <xdr:cNvSpPr>
          <a:spLocks/>
        </xdr:cNvSpPr>
      </xdr:nvSpPr>
      <xdr:spPr>
        <a:xfrm flipV="1">
          <a:off x="1819275" y="41814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95250</xdr:rowOff>
    </xdr:from>
    <xdr:to>
      <xdr:col>5</xdr:col>
      <xdr:colOff>247650</xdr:colOff>
      <xdr:row>29</xdr:row>
      <xdr:rowOff>38100</xdr:rowOff>
    </xdr:to>
    <xdr:sp>
      <xdr:nvSpPr>
        <xdr:cNvPr id="67" name="Arc 93"/>
        <xdr:cNvSpPr>
          <a:spLocks/>
        </xdr:cNvSpPr>
      </xdr:nvSpPr>
      <xdr:spPr>
        <a:xfrm flipH="1">
          <a:off x="1438275" y="3238500"/>
          <a:ext cx="428625" cy="942975"/>
        </a:xfrm>
        <a:prstGeom prst="arc">
          <a:avLst>
            <a:gd name="adj" fmla="val 27200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57150</xdr:rowOff>
    </xdr:from>
    <xdr:to>
      <xdr:col>5</xdr:col>
      <xdr:colOff>228600</xdr:colOff>
      <xdr:row>28</xdr:row>
      <xdr:rowOff>76200</xdr:rowOff>
    </xdr:to>
    <xdr:sp>
      <xdr:nvSpPr>
        <xdr:cNvPr id="68" name="Arc 94"/>
        <xdr:cNvSpPr>
          <a:spLocks/>
        </xdr:cNvSpPr>
      </xdr:nvSpPr>
      <xdr:spPr>
        <a:xfrm flipH="1">
          <a:off x="1562100" y="3343275"/>
          <a:ext cx="285750" cy="733425"/>
        </a:xfrm>
        <a:prstGeom prst="arc">
          <a:avLst>
            <a:gd name="adj" fmla="val 27200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28</xdr:row>
      <xdr:rowOff>114300</xdr:rowOff>
    </xdr:from>
    <xdr:to>
      <xdr:col>5</xdr:col>
      <xdr:colOff>114300</xdr:colOff>
      <xdr:row>29</xdr:row>
      <xdr:rowOff>114300</xdr:rowOff>
    </xdr:to>
    <xdr:sp>
      <xdr:nvSpPr>
        <xdr:cNvPr id="69" name="Rectangle 95"/>
        <xdr:cNvSpPr>
          <a:spLocks/>
        </xdr:cNvSpPr>
      </xdr:nvSpPr>
      <xdr:spPr>
        <a:xfrm rot="2119304" flipV="1">
          <a:off x="1590675" y="41148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209550</xdr:colOff>
      <xdr:row>23</xdr:row>
      <xdr:rowOff>57150</xdr:rowOff>
    </xdr:from>
    <xdr:to>
      <xdr:col>6</xdr:col>
      <xdr:colOff>0</xdr:colOff>
      <xdr:row>23</xdr:row>
      <xdr:rowOff>57150</xdr:rowOff>
    </xdr:to>
    <xdr:sp>
      <xdr:nvSpPr>
        <xdr:cNvPr id="70" name="Line 98"/>
        <xdr:cNvSpPr>
          <a:spLocks/>
        </xdr:cNvSpPr>
      </xdr:nvSpPr>
      <xdr:spPr>
        <a:xfrm>
          <a:off x="1828800" y="33432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200025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71" name="Line 99"/>
        <xdr:cNvSpPr>
          <a:spLocks/>
        </xdr:cNvSpPr>
      </xdr:nvSpPr>
      <xdr:spPr>
        <a:xfrm>
          <a:off x="1819275" y="40767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104775</xdr:rowOff>
    </xdr:from>
    <xdr:to>
      <xdr:col>5</xdr:col>
      <xdr:colOff>28575</xdr:colOff>
      <xdr:row>22</xdr:row>
      <xdr:rowOff>28575</xdr:rowOff>
    </xdr:to>
    <xdr:sp>
      <xdr:nvSpPr>
        <xdr:cNvPr id="72" name="Oval 101"/>
        <xdr:cNvSpPr>
          <a:spLocks/>
        </xdr:cNvSpPr>
      </xdr:nvSpPr>
      <xdr:spPr>
        <a:xfrm>
          <a:off x="15906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5</xdr:col>
      <xdr:colOff>28575</xdr:colOff>
      <xdr:row>30</xdr:row>
      <xdr:rowOff>28575</xdr:rowOff>
    </xdr:to>
    <xdr:sp>
      <xdr:nvSpPr>
        <xdr:cNvPr id="73" name="Oval 102"/>
        <xdr:cNvSpPr>
          <a:spLocks/>
        </xdr:cNvSpPr>
      </xdr:nvSpPr>
      <xdr:spPr>
        <a:xfrm>
          <a:off x="15906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26</xdr:row>
      <xdr:rowOff>0</xdr:rowOff>
    </xdr:to>
    <xdr:sp>
      <xdr:nvSpPr>
        <xdr:cNvPr id="74" name="Line 103"/>
        <xdr:cNvSpPr>
          <a:spLocks/>
        </xdr:cNvSpPr>
      </xdr:nvSpPr>
      <xdr:spPr>
        <a:xfrm>
          <a:off x="1619250" y="3143250"/>
          <a:ext cx="323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75" name="AutoShape 104"/>
        <xdr:cNvSpPr>
          <a:spLocks/>
        </xdr:cNvSpPr>
      </xdr:nvSpPr>
      <xdr:spPr>
        <a:xfrm>
          <a:off x="1676400" y="3152775"/>
          <a:ext cx="266700" cy="85725"/>
        </a:xfrm>
        <a:custGeom>
          <a:pathLst>
            <a:path h="9" w="28">
              <a:moveTo>
                <a:pt x="0" y="9"/>
              </a:moveTo>
              <a:cubicBezTo>
                <a:pt x="3" y="5"/>
                <a:pt x="7" y="2"/>
                <a:pt x="12" y="1"/>
              </a:cubicBezTo>
              <a:cubicBezTo>
                <a:pt x="17" y="0"/>
                <a:pt x="22" y="1"/>
                <a:pt x="28" y="2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104775</xdr:rowOff>
    </xdr:from>
    <xdr:to>
      <xdr:col>6</xdr:col>
      <xdr:colOff>0</xdr:colOff>
      <xdr:row>22</xdr:row>
      <xdr:rowOff>57150</xdr:rowOff>
    </xdr:to>
    <xdr:sp>
      <xdr:nvSpPr>
        <xdr:cNvPr id="76" name="Line 105"/>
        <xdr:cNvSpPr>
          <a:spLocks/>
        </xdr:cNvSpPr>
      </xdr:nvSpPr>
      <xdr:spPr>
        <a:xfrm>
          <a:off x="1943100" y="3105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38100</xdr:rowOff>
    </xdr:from>
    <xdr:to>
      <xdr:col>5</xdr:col>
      <xdr:colOff>190500</xdr:colOff>
      <xdr:row>25</xdr:row>
      <xdr:rowOff>0</xdr:rowOff>
    </xdr:to>
    <xdr:sp>
      <xdr:nvSpPr>
        <xdr:cNvPr id="77" name="AutoShape 106"/>
        <xdr:cNvSpPr>
          <a:spLocks/>
        </xdr:cNvSpPr>
      </xdr:nvSpPr>
      <xdr:spPr>
        <a:xfrm>
          <a:off x="1295400" y="3467100"/>
          <a:ext cx="514350" cy="104775"/>
        </a:xfrm>
        <a:custGeom>
          <a:pathLst>
            <a:path h="11" w="54">
              <a:moveTo>
                <a:pt x="0" y="11"/>
              </a:moveTo>
              <a:cubicBezTo>
                <a:pt x="18" y="6"/>
                <a:pt x="36" y="2"/>
                <a:pt x="43" y="1"/>
              </a:cubicBezTo>
              <a:cubicBezTo>
                <a:pt x="50" y="0"/>
                <a:pt x="38" y="5"/>
                <a:pt x="40" y="6"/>
              </a:cubicBezTo>
              <a:cubicBezTo>
                <a:pt x="42" y="7"/>
                <a:pt x="48" y="6"/>
                <a:pt x="5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78" name="Line 107"/>
        <xdr:cNvSpPr>
          <a:spLocks/>
        </xdr:cNvSpPr>
      </xdr:nvSpPr>
      <xdr:spPr>
        <a:xfrm>
          <a:off x="1066800" y="3571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29</xdr:row>
      <xdr:rowOff>66675</xdr:rowOff>
    </xdr:to>
    <xdr:sp>
      <xdr:nvSpPr>
        <xdr:cNvPr id="79" name="Line 109"/>
        <xdr:cNvSpPr>
          <a:spLocks/>
        </xdr:cNvSpPr>
      </xdr:nvSpPr>
      <xdr:spPr>
        <a:xfrm>
          <a:off x="1619250" y="32385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0" name="Line 115"/>
        <xdr:cNvSpPr>
          <a:spLocks/>
        </xdr:cNvSpPr>
      </xdr:nvSpPr>
      <xdr:spPr>
        <a:xfrm>
          <a:off x="1943100" y="371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0</xdr:rowOff>
    </xdr:from>
    <xdr:to>
      <xdr:col>4</xdr:col>
      <xdr:colOff>228600</xdr:colOff>
      <xdr:row>22</xdr:row>
      <xdr:rowOff>0</xdr:rowOff>
    </xdr:to>
    <xdr:sp>
      <xdr:nvSpPr>
        <xdr:cNvPr id="81" name="Line 116"/>
        <xdr:cNvSpPr>
          <a:spLocks/>
        </xdr:cNvSpPr>
      </xdr:nvSpPr>
      <xdr:spPr>
        <a:xfrm>
          <a:off x="914400" y="3143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0</xdr:rowOff>
    </xdr:from>
    <xdr:to>
      <xdr:col>4</xdr:col>
      <xdr:colOff>209550</xdr:colOff>
      <xdr:row>30</xdr:row>
      <xdr:rowOff>0</xdr:rowOff>
    </xdr:to>
    <xdr:sp>
      <xdr:nvSpPr>
        <xdr:cNvPr id="82" name="Line 117"/>
        <xdr:cNvSpPr>
          <a:spLocks/>
        </xdr:cNvSpPr>
      </xdr:nvSpPr>
      <xdr:spPr>
        <a:xfrm>
          <a:off x="923925" y="4286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30</xdr:row>
      <xdr:rowOff>0</xdr:rowOff>
    </xdr:to>
    <xdr:sp>
      <xdr:nvSpPr>
        <xdr:cNvPr id="83" name="Line 118"/>
        <xdr:cNvSpPr>
          <a:spLocks/>
        </xdr:cNvSpPr>
      </xdr:nvSpPr>
      <xdr:spPr>
        <a:xfrm>
          <a:off x="971550" y="31432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219075</xdr:colOff>
      <xdr:row>28</xdr:row>
      <xdr:rowOff>95250</xdr:rowOff>
    </xdr:from>
    <xdr:to>
      <xdr:col>9</xdr:col>
      <xdr:colOff>114300</xdr:colOff>
      <xdr:row>31</xdr:row>
      <xdr:rowOff>0</xdr:rowOff>
    </xdr:to>
    <xdr:grpSp>
      <xdr:nvGrpSpPr>
        <xdr:cNvPr id="84" name="Group 128"/>
        <xdr:cNvGrpSpPr>
          <a:grpSpLocks/>
        </xdr:cNvGrpSpPr>
      </xdr:nvGrpSpPr>
      <xdr:grpSpPr>
        <a:xfrm>
          <a:off x="28098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85" name="Line 129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130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131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AutoShape 132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38100</xdr:rowOff>
    </xdr:to>
    <xdr:sp>
      <xdr:nvSpPr>
        <xdr:cNvPr id="89" name="Line 133"/>
        <xdr:cNvSpPr>
          <a:spLocks/>
        </xdr:cNvSpPr>
      </xdr:nvSpPr>
      <xdr:spPr>
        <a:xfrm flipV="1">
          <a:off x="2914650" y="4286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95250</xdr:rowOff>
    </xdr:from>
    <xdr:to>
      <xdr:col>9</xdr:col>
      <xdr:colOff>0</xdr:colOff>
      <xdr:row>34</xdr:row>
      <xdr:rowOff>38100</xdr:rowOff>
    </xdr:to>
    <xdr:sp>
      <xdr:nvSpPr>
        <xdr:cNvPr id="90" name="Line 134"/>
        <xdr:cNvSpPr>
          <a:spLocks/>
        </xdr:cNvSpPr>
      </xdr:nvSpPr>
      <xdr:spPr>
        <a:xfrm>
          <a:off x="2914650" y="4524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1" name="Rectangle 135"/>
        <xdr:cNvSpPr>
          <a:spLocks/>
        </xdr:cNvSpPr>
      </xdr:nvSpPr>
      <xdr:spPr>
        <a:xfrm>
          <a:off x="25908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14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9</xdr:row>
      <xdr:rowOff>0</xdr:rowOff>
    </xdr:from>
    <xdr:to>
      <xdr:col>27</xdr:col>
      <xdr:colOff>0</xdr:colOff>
      <xdr:row>10</xdr:row>
      <xdr:rowOff>9525</xdr:rowOff>
    </xdr:to>
    <xdr:pic>
      <xdr:nvPicPr>
        <xdr:cNvPr id="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858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10</xdr:row>
      <xdr:rowOff>0</xdr:rowOff>
    </xdr:from>
    <xdr:to>
      <xdr:col>27</xdr:col>
      <xdr:colOff>0</xdr:colOff>
      <xdr:row>11</xdr:row>
      <xdr:rowOff>28575</xdr:rowOff>
    </xdr:to>
    <xdr:pic>
      <xdr:nvPicPr>
        <xdr:cNvPr id="4" name="Combo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28750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13</xdr:row>
      <xdr:rowOff>0</xdr:rowOff>
    </xdr:from>
    <xdr:to>
      <xdr:col>25</xdr:col>
      <xdr:colOff>0</xdr:colOff>
      <xdr:row>14</xdr:row>
      <xdr:rowOff>9525</xdr:rowOff>
    </xdr:to>
    <xdr:pic>
      <xdr:nvPicPr>
        <xdr:cNvPr id="5" name="ComboBox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12</xdr:row>
      <xdr:rowOff>0</xdr:rowOff>
    </xdr:from>
    <xdr:to>
      <xdr:col>25</xdr:col>
      <xdr:colOff>0</xdr:colOff>
      <xdr:row>13</xdr:row>
      <xdr:rowOff>9525</xdr:rowOff>
    </xdr:to>
    <xdr:pic>
      <xdr:nvPicPr>
        <xdr:cNvPr id="6" name="ComboBox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0</xdr:colOff>
      <xdr:row>13</xdr:row>
      <xdr:rowOff>0</xdr:rowOff>
    </xdr:from>
    <xdr:to>
      <xdr:col>29</xdr:col>
      <xdr:colOff>0</xdr:colOff>
      <xdr:row>14</xdr:row>
      <xdr:rowOff>9525</xdr:rowOff>
    </xdr:to>
    <xdr:pic>
      <xdr:nvPicPr>
        <xdr:cNvPr id="8" name="ComboBox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12</xdr:row>
      <xdr:rowOff>0</xdr:rowOff>
    </xdr:from>
    <xdr:to>
      <xdr:col>19</xdr:col>
      <xdr:colOff>0</xdr:colOff>
      <xdr:row>13</xdr:row>
      <xdr:rowOff>9525</xdr:rowOff>
    </xdr:to>
    <xdr:pic>
      <xdr:nvPicPr>
        <xdr:cNvPr id="9" name="ComboBox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114300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14337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28950" y="4143375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057400" y="3286125"/>
          <a:ext cx="441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161925</xdr:colOff>
      <xdr:row>29</xdr:row>
      <xdr:rowOff>0</xdr:rowOff>
    </xdr:to>
    <xdr:sp>
      <xdr:nvSpPr>
        <xdr:cNvPr id="13" name="Arc 13"/>
        <xdr:cNvSpPr>
          <a:spLocks/>
        </xdr:cNvSpPr>
      </xdr:nvSpPr>
      <xdr:spPr>
        <a:xfrm>
          <a:off x="6477000" y="3286125"/>
          <a:ext cx="161925" cy="857250"/>
        </a:xfrm>
        <a:prstGeom prst="arc">
          <a:avLst>
            <a:gd name="adj1" fmla="val 27626481"/>
            <a:gd name="adj2" fmla="val -4787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5829300" y="41433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19</xdr:col>
      <xdr:colOff>114300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0293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200025</xdr:colOff>
      <xdr:row>22</xdr:row>
      <xdr:rowOff>0</xdr:rowOff>
    </xdr:from>
    <xdr:to>
      <xdr:col>11</xdr:col>
      <xdr:colOff>114300</xdr:colOff>
      <xdr:row>23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43852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161925</xdr:colOff>
      <xdr:row>30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26695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2914650" y="41433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914650" y="3314700"/>
          <a:ext cx="0" cy="828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0</xdr:colOff>
      <xdr:row>25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2590800" y="34480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"Z"</a:t>
          </a:r>
        </a:p>
      </xdr:txBody>
    </xdr:sp>
    <xdr:clientData/>
  </xdr:twoCellAnchor>
  <xdr:twoCellAnchor>
    <xdr:from>
      <xdr:col>9</xdr:col>
      <xdr:colOff>209550</xdr:colOff>
      <xdr:row>28</xdr:row>
      <xdr:rowOff>0</xdr:rowOff>
    </xdr:from>
    <xdr:to>
      <xdr:col>10</xdr:col>
      <xdr:colOff>209550</xdr:colOff>
      <xdr:row>29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124200" y="40005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"X"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2914650" y="44291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0</xdr:rowOff>
    </xdr:from>
    <xdr:to>
      <xdr:col>11</xdr:col>
      <xdr:colOff>238125</xdr:colOff>
      <xdr:row>30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505075" y="414337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Origin of Coordinate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24</xdr:col>
      <xdr:colOff>0</xdr:colOff>
      <xdr:row>35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1247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809625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Sliding Side</a:t>
          </a:r>
        </a:p>
      </xdr:txBody>
    </xdr:sp>
    <xdr:clientData/>
  </xdr:twoCellAnchor>
  <xdr:twoCellAnchor>
    <xdr:from>
      <xdr:col>16</xdr:col>
      <xdr:colOff>0</xdr:colOff>
      <xdr:row>23</xdr:row>
      <xdr:rowOff>28575</xdr:rowOff>
    </xdr:from>
    <xdr:to>
      <xdr:col>16</xdr:col>
      <xdr:colOff>0</xdr:colOff>
      <xdr:row>28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5181600" y="3314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5505450" y="3286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23</xdr:row>
      <xdr:rowOff>28575</xdr:rowOff>
    </xdr:from>
    <xdr:to>
      <xdr:col>16</xdr:col>
      <xdr:colOff>57150</xdr:colOff>
      <xdr:row>23</xdr:row>
      <xdr:rowOff>28575</xdr:rowOff>
    </xdr:to>
    <xdr:sp>
      <xdr:nvSpPr>
        <xdr:cNvPr id="28" name="Line 28"/>
        <xdr:cNvSpPr>
          <a:spLocks/>
        </xdr:cNvSpPr>
      </xdr:nvSpPr>
      <xdr:spPr>
        <a:xfrm>
          <a:off x="5114925" y="3314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257175</xdr:colOff>
      <xdr:row>28</xdr:row>
      <xdr:rowOff>104775</xdr:rowOff>
    </xdr:from>
    <xdr:to>
      <xdr:col>16</xdr:col>
      <xdr:colOff>85725</xdr:colOff>
      <xdr:row>28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511492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1816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30</xdr:row>
      <xdr:rowOff>0</xdr:rowOff>
    </xdr:from>
    <xdr:to>
      <xdr:col>6</xdr:col>
      <xdr:colOff>295275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162175" y="4286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13</xdr:col>
      <xdr:colOff>142875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3733800" y="3143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161925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631507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0</xdr:rowOff>
    </xdr:from>
    <xdr:to>
      <xdr:col>6</xdr:col>
      <xdr:colOff>257175</xdr:colOff>
      <xdr:row>30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20027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0</xdr:rowOff>
    </xdr:from>
    <xdr:to>
      <xdr:col>11</xdr:col>
      <xdr:colOff>285750</xdr:colOff>
      <xdr:row>23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8481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285750</xdr:colOff>
      <xdr:row>22</xdr:row>
      <xdr:rowOff>0</xdr:rowOff>
    </xdr:from>
    <xdr:to>
      <xdr:col>19</xdr:col>
      <xdr:colOff>285750</xdr:colOff>
      <xdr:row>23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438900" y="314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23</xdr:row>
      <xdr:rowOff>47625</xdr:rowOff>
    </xdr:to>
    <xdr:sp>
      <xdr:nvSpPr>
        <xdr:cNvPr id="38" name="Line 38"/>
        <xdr:cNvSpPr>
          <a:spLocks/>
        </xdr:cNvSpPr>
      </xdr:nvSpPr>
      <xdr:spPr>
        <a:xfrm>
          <a:off x="356235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95250</xdr:rowOff>
    </xdr:from>
    <xdr:to>
      <xdr:col>7</xdr:col>
      <xdr:colOff>76200</xdr:colOff>
      <xdr:row>30</xdr:row>
      <xdr:rowOff>9525</xdr:rowOff>
    </xdr:to>
    <xdr:sp>
      <xdr:nvSpPr>
        <xdr:cNvPr id="39" name="Line 39"/>
        <xdr:cNvSpPr>
          <a:spLocks/>
        </xdr:cNvSpPr>
      </xdr:nvSpPr>
      <xdr:spPr>
        <a:xfrm>
          <a:off x="2343150" y="4095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23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6153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3429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2" name="Line 42"/>
        <xdr:cNvSpPr>
          <a:spLocks/>
        </xdr:cNvSpPr>
      </xdr:nvSpPr>
      <xdr:spPr>
        <a:xfrm>
          <a:off x="582930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66675</xdr:rowOff>
    </xdr:from>
    <xdr:to>
      <xdr:col>19</xdr:col>
      <xdr:colOff>0</xdr:colOff>
      <xdr:row>24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6153150" y="3352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85725</xdr:rowOff>
    </xdr:from>
    <xdr:to>
      <xdr:col>11</xdr:col>
      <xdr:colOff>0</xdr:colOff>
      <xdr:row>24</xdr:row>
      <xdr:rowOff>38100</xdr:rowOff>
    </xdr:to>
    <xdr:sp>
      <xdr:nvSpPr>
        <xdr:cNvPr id="44" name="Line 44"/>
        <xdr:cNvSpPr>
          <a:spLocks/>
        </xdr:cNvSpPr>
      </xdr:nvSpPr>
      <xdr:spPr>
        <a:xfrm>
          <a:off x="356235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95250</xdr:rowOff>
    </xdr:from>
    <xdr:to>
      <xdr:col>18</xdr:col>
      <xdr:colOff>0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5829300" y="33813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47625</xdr:rowOff>
    </xdr:to>
    <xdr:sp>
      <xdr:nvSpPr>
        <xdr:cNvPr id="46" name="Line 46"/>
        <xdr:cNvSpPr>
          <a:spLocks/>
        </xdr:cNvSpPr>
      </xdr:nvSpPr>
      <xdr:spPr>
        <a:xfrm>
          <a:off x="2914650" y="4286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104775</xdr:rowOff>
    </xdr:from>
    <xdr:to>
      <xdr:col>18</xdr:col>
      <xdr:colOff>0</xdr:colOff>
      <xdr:row>31</xdr:row>
      <xdr:rowOff>38100</xdr:rowOff>
    </xdr:to>
    <xdr:sp>
      <xdr:nvSpPr>
        <xdr:cNvPr id="47" name="Line 47"/>
        <xdr:cNvSpPr>
          <a:spLocks/>
        </xdr:cNvSpPr>
      </xdr:nvSpPr>
      <xdr:spPr>
        <a:xfrm>
          <a:off x="5829300" y="4391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104775</xdr:rowOff>
    </xdr:from>
    <xdr:to>
      <xdr:col>11</xdr:col>
      <xdr:colOff>19050</xdr:colOff>
      <xdr:row>22</xdr:row>
      <xdr:rowOff>28575</xdr:rowOff>
    </xdr:to>
    <xdr:sp>
      <xdr:nvSpPr>
        <xdr:cNvPr id="48" name="Oval 48"/>
        <xdr:cNvSpPr>
          <a:spLocks/>
        </xdr:cNvSpPr>
      </xdr:nvSpPr>
      <xdr:spPr>
        <a:xfrm>
          <a:off x="352425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104775</xdr:rowOff>
    </xdr:from>
    <xdr:to>
      <xdr:col>7</xdr:col>
      <xdr:colOff>104775</xdr:colOff>
      <xdr:row>30</xdr:row>
      <xdr:rowOff>28575</xdr:rowOff>
    </xdr:to>
    <xdr:sp>
      <xdr:nvSpPr>
        <xdr:cNvPr id="49" name="Oval 49"/>
        <xdr:cNvSpPr>
          <a:spLocks/>
        </xdr:cNvSpPr>
      </xdr:nvSpPr>
      <xdr:spPr>
        <a:xfrm>
          <a:off x="23145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295275</xdr:colOff>
      <xdr:row>21</xdr:row>
      <xdr:rowOff>104775</xdr:rowOff>
    </xdr:from>
    <xdr:to>
      <xdr:col>19</xdr:col>
      <xdr:colOff>28575</xdr:colOff>
      <xdr:row>22</xdr:row>
      <xdr:rowOff>28575</xdr:rowOff>
    </xdr:to>
    <xdr:sp>
      <xdr:nvSpPr>
        <xdr:cNvPr id="50" name="Oval 50"/>
        <xdr:cNvSpPr>
          <a:spLocks/>
        </xdr:cNvSpPr>
      </xdr:nvSpPr>
      <xdr:spPr>
        <a:xfrm>
          <a:off x="61245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76200</xdr:colOff>
      <xdr:row>28</xdr:row>
      <xdr:rowOff>76200</xdr:rowOff>
    </xdr:to>
    <xdr:sp>
      <xdr:nvSpPr>
        <xdr:cNvPr id="51" name="Line 51"/>
        <xdr:cNvSpPr>
          <a:spLocks/>
        </xdr:cNvSpPr>
      </xdr:nvSpPr>
      <xdr:spPr>
        <a:xfrm flipV="1">
          <a:off x="2343150" y="3952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2343150" y="4000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</xdr:row>
      <xdr:rowOff>0</xdr:rowOff>
    </xdr:from>
    <xdr:to>
      <xdr:col>25</xdr:col>
      <xdr:colOff>0</xdr:colOff>
      <xdr:row>5</xdr:row>
      <xdr:rowOff>19050</xdr:rowOff>
    </xdr:to>
    <xdr:pic>
      <xdr:nvPicPr>
        <xdr:cNvPr id="53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571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17</xdr:col>
      <xdr:colOff>247650</xdr:colOff>
      <xdr:row>29</xdr:row>
      <xdr:rowOff>0</xdr:rowOff>
    </xdr:from>
    <xdr:to>
      <xdr:col>18</xdr:col>
      <xdr:colOff>85725</xdr:colOff>
      <xdr:row>30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5753100" y="4143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>
          <a:off x="5972175" y="4286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276225</xdr:colOff>
      <xdr:row>29</xdr:row>
      <xdr:rowOff>0</xdr:rowOff>
    </xdr:from>
    <xdr:to>
      <xdr:col>18</xdr:col>
      <xdr:colOff>276225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6105525" y="414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200025</xdr:colOff>
      <xdr:row>22</xdr:row>
      <xdr:rowOff>0</xdr:rowOff>
    </xdr:from>
    <xdr:to>
      <xdr:col>14</xdr:col>
      <xdr:colOff>114300</xdr:colOff>
      <xdr:row>23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4410075" y="31432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sp>
      <xdr:nvSpPr>
        <xdr:cNvPr id="58" name="Line 58"/>
        <xdr:cNvSpPr>
          <a:spLocks/>
        </xdr:cNvSpPr>
      </xdr:nvSpPr>
      <xdr:spPr>
        <a:xfrm>
          <a:off x="4533900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85725</xdr:rowOff>
    </xdr:from>
    <xdr:to>
      <xdr:col>14</xdr:col>
      <xdr:colOff>0</xdr:colOff>
      <xdr:row>24</xdr:row>
      <xdr:rowOff>38100</xdr:rowOff>
    </xdr:to>
    <xdr:sp>
      <xdr:nvSpPr>
        <xdr:cNvPr id="59" name="Line 59"/>
        <xdr:cNvSpPr>
          <a:spLocks/>
        </xdr:cNvSpPr>
      </xdr:nvSpPr>
      <xdr:spPr>
        <a:xfrm>
          <a:off x="4533900" y="3371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285750</xdr:colOff>
      <xdr:row>21</xdr:row>
      <xdr:rowOff>104775</xdr:rowOff>
    </xdr:from>
    <xdr:to>
      <xdr:col>14</xdr:col>
      <xdr:colOff>19050</xdr:colOff>
      <xdr:row>22</xdr:row>
      <xdr:rowOff>28575</xdr:rowOff>
    </xdr:to>
    <xdr:sp>
      <xdr:nvSpPr>
        <xdr:cNvPr id="60" name="Oval 60"/>
        <xdr:cNvSpPr>
          <a:spLocks/>
        </xdr:cNvSpPr>
      </xdr:nvSpPr>
      <xdr:spPr>
        <a:xfrm>
          <a:off x="4495800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1" name="Line 61"/>
        <xdr:cNvSpPr>
          <a:spLocks/>
        </xdr:cNvSpPr>
      </xdr:nvSpPr>
      <xdr:spPr>
        <a:xfrm>
          <a:off x="35623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104775</xdr:rowOff>
    </xdr:from>
    <xdr:to>
      <xdr:col>18</xdr:col>
      <xdr:colOff>28575</xdr:colOff>
      <xdr:row>30</xdr:row>
      <xdr:rowOff>28575</xdr:rowOff>
    </xdr:to>
    <xdr:sp>
      <xdr:nvSpPr>
        <xdr:cNvPr id="62" name="Oval 62"/>
        <xdr:cNvSpPr>
          <a:spLocks/>
        </xdr:cNvSpPr>
      </xdr:nvSpPr>
      <xdr:spPr>
        <a:xfrm>
          <a:off x="580072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123825</xdr:colOff>
      <xdr:row>29</xdr:row>
      <xdr:rowOff>38100</xdr:rowOff>
    </xdr:to>
    <xdr:sp>
      <xdr:nvSpPr>
        <xdr:cNvPr id="63" name="Rectangle 63"/>
        <xdr:cNvSpPr>
          <a:spLocks/>
        </xdr:cNvSpPr>
      </xdr:nvSpPr>
      <xdr:spPr>
        <a:xfrm>
          <a:off x="1943100" y="3238500"/>
          <a:ext cx="123825" cy="942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9525</xdr:rowOff>
    </xdr:from>
    <xdr:to>
      <xdr:col>5</xdr:col>
      <xdr:colOff>114300</xdr:colOff>
      <xdr:row>23</xdr:row>
      <xdr:rowOff>9525</xdr:rowOff>
    </xdr:to>
    <xdr:sp>
      <xdr:nvSpPr>
        <xdr:cNvPr id="64" name="Rectangle 64"/>
        <xdr:cNvSpPr>
          <a:spLocks/>
        </xdr:cNvSpPr>
      </xdr:nvSpPr>
      <xdr:spPr>
        <a:xfrm rot="19684313">
          <a:off x="1590675" y="3152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219075</xdr:colOff>
      <xdr:row>22</xdr:row>
      <xdr:rowOff>95250</xdr:rowOff>
    </xdr:from>
    <xdr:to>
      <xdr:col>6</xdr:col>
      <xdr:colOff>9525</xdr:colOff>
      <xdr:row>22</xdr:row>
      <xdr:rowOff>95250</xdr:rowOff>
    </xdr:to>
    <xdr:sp>
      <xdr:nvSpPr>
        <xdr:cNvPr id="65" name="Line 65"/>
        <xdr:cNvSpPr>
          <a:spLocks/>
        </xdr:cNvSpPr>
      </xdr:nvSpPr>
      <xdr:spPr>
        <a:xfrm flipV="1">
          <a:off x="1838325" y="32385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200025</xdr:colOff>
      <xdr:row>29</xdr:row>
      <xdr:rowOff>38100</xdr:rowOff>
    </xdr:from>
    <xdr:to>
      <xdr:col>5</xdr:col>
      <xdr:colOff>314325</xdr:colOff>
      <xdr:row>29</xdr:row>
      <xdr:rowOff>38100</xdr:rowOff>
    </xdr:to>
    <xdr:sp>
      <xdr:nvSpPr>
        <xdr:cNvPr id="66" name="Line 66"/>
        <xdr:cNvSpPr>
          <a:spLocks/>
        </xdr:cNvSpPr>
      </xdr:nvSpPr>
      <xdr:spPr>
        <a:xfrm flipV="1">
          <a:off x="1819275" y="41814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95250</xdr:rowOff>
    </xdr:from>
    <xdr:to>
      <xdr:col>5</xdr:col>
      <xdr:colOff>247650</xdr:colOff>
      <xdr:row>29</xdr:row>
      <xdr:rowOff>38100</xdr:rowOff>
    </xdr:to>
    <xdr:sp>
      <xdr:nvSpPr>
        <xdr:cNvPr id="67" name="Arc 67"/>
        <xdr:cNvSpPr>
          <a:spLocks/>
        </xdr:cNvSpPr>
      </xdr:nvSpPr>
      <xdr:spPr>
        <a:xfrm flipH="1">
          <a:off x="1438275" y="3238500"/>
          <a:ext cx="428625" cy="942975"/>
        </a:xfrm>
        <a:prstGeom prst="arc">
          <a:avLst>
            <a:gd name="adj" fmla="val 27200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57150</xdr:rowOff>
    </xdr:from>
    <xdr:to>
      <xdr:col>5</xdr:col>
      <xdr:colOff>228600</xdr:colOff>
      <xdr:row>28</xdr:row>
      <xdr:rowOff>76200</xdr:rowOff>
    </xdr:to>
    <xdr:sp>
      <xdr:nvSpPr>
        <xdr:cNvPr id="68" name="Arc 68"/>
        <xdr:cNvSpPr>
          <a:spLocks/>
        </xdr:cNvSpPr>
      </xdr:nvSpPr>
      <xdr:spPr>
        <a:xfrm flipH="1">
          <a:off x="1562100" y="3343275"/>
          <a:ext cx="285750" cy="733425"/>
        </a:xfrm>
        <a:prstGeom prst="arc">
          <a:avLst>
            <a:gd name="adj" fmla="val 27200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28</xdr:row>
      <xdr:rowOff>114300</xdr:rowOff>
    </xdr:from>
    <xdr:to>
      <xdr:col>5</xdr:col>
      <xdr:colOff>114300</xdr:colOff>
      <xdr:row>29</xdr:row>
      <xdr:rowOff>114300</xdr:rowOff>
    </xdr:to>
    <xdr:sp>
      <xdr:nvSpPr>
        <xdr:cNvPr id="69" name="Rectangle 69"/>
        <xdr:cNvSpPr>
          <a:spLocks/>
        </xdr:cNvSpPr>
      </xdr:nvSpPr>
      <xdr:spPr>
        <a:xfrm rot="2119304" flipV="1">
          <a:off x="1590675" y="41148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209550</xdr:colOff>
      <xdr:row>23</xdr:row>
      <xdr:rowOff>57150</xdr:rowOff>
    </xdr:from>
    <xdr:to>
      <xdr:col>6</xdr:col>
      <xdr:colOff>0</xdr:colOff>
      <xdr:row>23</xdr:row>
      <xdr:rowOff>57150</xdr:rowOff>
    </xdr:to>
    <xdr:sp>
      <xdr:nvSpPr>
        <xdr:cNvPr id="70" name="Line 70"/>
        <xdr:cNvSpPr>
          <a:spLocks/>
        </xdr:cNvSpPr>
      </xdr:nvSpPr>
      <xdr:spPr>
        <a:xfrm>
          <a:off x="1828800" y="33432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200025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1819275" y="40767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104775</xdr:rowOff>
    </xdr:from>
    <xdr:to>
      <xdr:col>5</xdr:col>
      <xdr:colOff>28575</xdr:colOff>
      <xdr:row>22</xdr:row>
      <xdr:rowOff>28575</xdr:rowOff>
    </xdr:to>
    <xdr:sp>
      <xdr:nvSpPr>
        <xdr:cNvPr id="72" name="Oval 72"/>
        <xdr:cNvSpPr>
          <a:spLocks/>
        </xdr:cNvSpPr>
      </xdr:nvSpPr>
      <xdr:spPr>
        <a:xfrm>
          <a:off x="1590675" y="3105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5</xdr:col>
      <xdr:colOff>28575</xdr:colOff>
      <xdr:row>30</xdr:row>
      <xdr:rowOff>28575</xdr:rowOff>
    </xdr:to>
    <xdr:sp>
      <xdr:nvSpPr>
        <xdr:cNvPr id="73" name="Oval 73"/>
        <xdr:cNvSpPr>
          <a:spLocks/>
        </xdr:cNvSpPr>
      </xdr:nvSpPr>
      <xdr:spPr>
        <a:xfrm>
          <a:off x="1590675" y="4248150"/>
          <a:ext cx="5715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26</xdr:row>
      <xdr:rowOff>0</xdr:rowOff>
    </xdr:to>
    <xdr:sp>
      <xdr:nvSpPr>
        <xdr:cNvPr id="74" name="Line 74"/>
        <xdr:cNvSpPr>
          <a:spLocks/>
        </xdr:cNvSpPr>
      </xdr:nvSpPr>
      <xdr:spPr>
        <a:xfrm>
          <a:off x="1619250" y="3143250"/>
          <a:ext cx="323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75" name="AutoShape 75"/>
        <xdr:cNvSpPr>
          <a:spLocks/>
        </xdr:cNvSpPr>
      </xdr:nvSpPr>
      <xdr:spPr>
        <a:xfrm>
          <a:off x="1676400" y="3152775"/>
          <a:ext cx="266700" cy="85725"/>
        </a:xfrm>
        <a:custGeom>
          <a:pathLst>
            <a:path h="9" w="28">
              <a:moveTo>
                <a:pt x="0" y="9"/>
              </a:moveTo>
              <a:cubicBezTo>
                <a:pt x="3" y="5"/>
                <a:pt x="7" y="2"/>
                <a:pt x="12" y="1"/>
              </a:cubicBezTo>
              <a:cubicBezTo>
                <a:pt x="17" y="0"/>
                <a:pt x="22" y="1"/>
                <a:pt x="28" y="2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104775</xdr:rowOff>
    </xdr:from>
    <xdr:to>
      <xdr:col>6</xdr:col>
      <xdr:colOff>0</xdr:colOff>
      <xdr:row>22</xdr:row>
      <xdr:rowOff>57150</xdr:rowOff>
    </xdr:to>
    <xdr:sp>
      <xdr:nvSpPr>
        <xdr:cNvPr id="76" name="Line 76"/>
        <xdr:cNvSpPr>
          <a:spLocks/>
        </xdr:cNvSpPr>
      </xdr:nvSpPr>
      <xdr:spPr>
        <a:xfrm>
          <a:off x="1943100" y="3105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38100</xdr:rowOff>
    </xdr:from>
    <xdr:to>
      <xdr:col>5</xdr:col>
      <xdr:colOff>190500</xdr:colOff>
      <xdr:row>25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295400" y="3467100"/>
          <a:ext cx="514350" cy="104775"/>
        </a:xfrm>
        <a:custGeom>
          <a:pathLst>
            <a:path h="11" w="54">
              <a:moveTo>
                <a:pt x="0" y="11"/>
              </a:moveTo>
              <a:cubicBezTo>
                <a:pt x="18" y="6"/>
                <a:pt x="36" y="2"/>
                <a:pt x="43" y="1"/>
              </a:cubicBezTo>
              <a:cubicBezTo>
                <a:pt x="50" y="0"/>
                <a:pt x="38" y="5"/>
                <a:pt x="40" y="6"/>
              </a:cubicBezTo>
              <a:cubicBezTo>
                <a:pt x="42" y="7"/>
                <a:pt x="48" y="6"/>
                <a:pt x="5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29</xdr:row>
      <xdr:rowOff>66675</xdr:rowOff>
    </xdr:to>
    <xdr:sp>
      <xdr:nvSpPr>
        <xdr:cNvPr id="78" name="Line 79"/>
        <xdr:cNvSpPr>
          <a:spLocks/>
        </xdr:cNvSpPr>
      </xdr:nvSpPr>
      <xdr:spPr>
        <a:xfrm>
          <a:off x="1619250" y="32385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79" name="Line 80"/>
        <xdr:cNvSpPr>
          <a:spLocks/>
        </xdr:cNvSpPr>
      </xdr:nvSpPr>
      <xdr:spPr>
        <a:xfrm>
          <a:off x="1943100" y="371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80" name="Line 81"/>
        <xdr:cNvSpPr>
          <a:spLocks/>
        </xdr:cNvSpPr>
      </xdr:nvSpPr>
      <xdr:spPr>
        <a:xfrm>
          <a:off x="1066800" y="3571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0</xdr:rowOff>
    </xdr:from>
    <xdr:to>
      <xdr:col>4</xdr:col>
      <xdr:colOff>228600</xdr:colOff>
      <xdr:row>22</xdr:row>
      <xdr:rowOff>0</xdr:rowOff>
    </xdr:to>
    <xdr:sp>
      <xdr:nvSpPr>
        <xdr:cNvPr id="81" name="Line 82"/>
        <xdr:cNvSpPr>
          <a:spLocks/>
        </xdr:cNvSpPr>
      </xdr:nvSpPr>
      <xdr:spPr>
        <a:xfrm>
          <a:off x="914400" y="3143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0</xdr:rowOff>
    </xdr:from>
    <xdr:to>
      <xdr:col>4</xdr:col>
      <xdr:colOff>219075</xdr:colOff>
      <xdr:row>30</xdr:row>
      <xdr:rowOff>0</xdr:rowOff>
    </xdr:to>
    <xdr:sp>
      <xdr:nvSpPr>
        <xdr:cNvPr id="82" name="Line 83"/>
        <xdr:cNvSpPr>
          <a:spLocks/>
        </xdr:cNvSpPr>
      </xdr:nvSpPr>
      <xdr:spPr>
        <a:xfrm>
          <a:off x="933450" y="4286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30</xdr:row>
      <xdr:rowOff>0</xdr:rowOff>
    </xdr:to>
    <xdr:sp>
      <xdr:nvSpPr>
        <xdr:cNvPr id="83" name="Line 84"/>
        <xdr:cNvSpPr>
          <a:spLocks/>
        </xdr:cNvSpPr>
      </xdr:nvSpPr>
      <xdr:spPr>
        <a:xfrm>
          <a:off x="971550" y="31432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219075</xdr:colOff>
      <xdr:row>28</xdr:row>
      <xdr:rowOff>95250</xdr:rowOff>
    </xdr:from>
    <xdr:to>
      <xdr:col>9</xdr:col>
      <xdr:colOff>114300</xdr:colOff>
      <xdr:row>31</xdr:row>
      <xdr:rowOff>0</xdr:rowOff>
    </xdr:to>
    <xdr:grpSp>
      <xdr:nvGrpSpPr>
        <xdr:cNvPr id="84" name="Group 85"/>
        <xdr:cNvGrpSpPr>
          <a:grpSpLocks/>
        </xdr:cNvGrpSpPr>
      </xdr:nvGrpSpPr>
      <xdr:grpSpPr>
        <a:xfrm>
          <a:off x="2809875" y="4095750"/>
          <a:ext cx="219075" cy="333375"/>
          <a:chOff x="272" y="430"/>
          <a:chExt cx="23" cy="35"/>
        </a:xfrm>
        <a:solidFill>
          <a:srgbClr val="FFFFFF"/>
        </a:solidFill>
      </xdr:grpSpPr>
      <xdr:sp>
        <xdr:nvSpPr>
          <xdr:cNvPr id="85" name="Line 86"/>
          <xdr:cNvSpPr>
            <a:spLocks/>
          </xdr:cNvSpPr>
        </xdr:nvSpPr>
        <xdr:spPr>
          <a:xfrm>
            <a:off x="272" y="430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Line 87"/>
          <xdr:cNvSpPr>
            <a:spLocks/>
          </xdr:cNvSpPr>
        </xdr:nvSpPr>
        <xdr:spPr>
          <a:xfrm>
            <a:off x="295" y="432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Line 88"/>
          <xdr:cNvSpPr>
            <a:spLocks/>
          </xdr:cNvSpPr>
        </xdr:nvSpPr>
        <xdr:spPr>
          <a:xfrm>
            <a:off x="272" y="465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AutoShape 89"/>
          <xdr:cNvSpPr>
            <a:spLocks/>
          </xdr:cNvSpPr>
        </xdr:nvSpPr>
        <xdr:spPr>
          <a:xfrm>
            <a:off x="272" y="430"/>
            <a:ext cx="23" cy="3"/>
          </a:xfrm>
          <a:custGeom>
            <a:pathLst>
              <a:path h="3" w="23">
                <a:moveTo>
                  <a:pt x="0" y="0"/>
                </a:moveTo>
                <a:cubicBezTo>
                  <a:pt x="1" y="1"/>
                  <a:pt x="3" y="3"/>
                  <a:pt x="6" y="3"/>
                </a:cubicBezTo>
                <a:cubicBezTo>
                  <a:pt x="9" y="3"/>
                  <a:pt x="14" y="1"/>
                  <a:pt x="17" y="1"/>
                </a:cubicBezTo>
                <a:cubicBezTo>
                  <a:pt x="20" y="1"/>
                  <a:pt x="21" y="1"/>
                  <a:pt x="23" y="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31</xdr:row>
      <xdr:rowOff>38100</xdr:rowOff>
    </xdr:to>
    <xdr:sp>
      <xdr:nvSpPr>
        <xdr:cNvPr id="89" name="Line 90"/>
        <xdr:cNvSpPr>
          <a:spLocks/>
        </xdr:cNvSpPr>
      </xdr:nvSpPr>
      <xdr:spPr>
        <a:xfrm flipV="1">
          <a:off x="2914650" y="4286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95250</xdr:rowOff>
    </xdr:from>
    <xdr:to>
      <xdr:col>9</xdr:col>
      <xdr:colOff>0</xdr:colOff>
      <xdr:row>34</xdr:row>
      <xdr:rowOff>38100</xdr:rowOff>
    </xdr:to>
    <xdr:sp>
      <xdr:nvSpPr>
        <xdr:cNvPr id="90" name="Line 91"/>
        <xdr:cNvSpPr>
          <a:spLocks/>
        </xdr:cNvSpPr>
      </xdr:nvSpPr>
      <xdr:spPr>
        <a:xfrm>
          <a:off x="2914650" y="4524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2590800" y="48577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Fixed Side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68"/>
  <sheetViews>
    <sheetView tabSelected="1" zoomScaleSheetLayoutView="100" workbookViewId="0" topLeftCell="A1">
      <selection activeCell="O7" sqref="O7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65" t="s">
        <v>223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30</v>
      </c>
      <c r="C3" s="5"/>
      <c r="D3" s="5"/>
      <c r="E3" s="108" t="s">
        <v>31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32</v>
      </c>
      <c r="Q3" s="11"/>
      <c r="R3" s="171" t="s">
        <v>33</v>
      </c>
      <c r="S3" s="171"/>
      <c r="T3" s="171"/>
      <c r="U3" s="172"/>
    </row>
    <row r="4" spans="1:24" ht="11.25" customHeight="1">
      <c r="A4" s="3">
        <v>2</v>
      </c>
      <c r="B4" s="6" t="s">
        <v>34</v>
      </c>
      <c r="C4" s="7"/>
      <c r="D4" s="7"/>
      <c r="E4" s="20" t="s">
        <v>35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7"/>
      <c r="R4" s="153" t="s">
        <v>37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38</v>
      </c>
      <c r="C5" s="7"/>
      <c r="D5" s="7"/>
      <c r="E5" s="20" t="s">
        <v>39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40</v>
      </c>
      <c r="Q5" s="7"/>
      <c r="R5" s="164" t="s">
        <v>535</v>
      </c>
      <c r="S5" s="164"/>
      <c r="T5" s="164"/>
      <c r="U5" s="173"/>
      <c r="X5" s="2" t="s">
        <v>224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41</v>
      </c>
      <c r="Q6" s="23"/>
      <c r="R6" s="24">
        <v>0</v>
      </c>
      <c r="S6" s="25"/>
      <c r="T6" s="25"/>
      <c r="U6" s="26"/>
      <c r="X6" s="111">
        <v>5</v>
      </c>
      <c r="Y6" s="2" t="s">
        <v>18</v>
      </c>
      <c r="AA6" s="3">
        <f>tempconv(fprop(X10,X11,0,J12,X6,Y6,"Yes",1,0,0),"℃",J12)</f>
        <v>158.28596762908052</v>
      </c>
      <c r="AB6" s="2" t="s">
        <v>225</v>
      </c>
    </row>
    <row r="7" spans="1:28" ht="11.25" customHeight="1">
      <c r="A7" s="3">
        <v>5</v>
      </c>
      <c r="B7" s="10" t="s">
        <v>42</v>
      </c>
      <c r="C7" s="11"/>
      <c r="D7" s="11"/>
      <c r="E7" s="39" t="s">
        <v>43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44</v>
      </c>
      <c r="Q7" s="11"/>
      <c r="R7" s="161" t="s">
        <v>27</v>
      </c>
      <c r="S7" s="161"/>
      <c r="T7" s="161"/>
      <c r="U7" s="162"/>
      <c r="X7" s="3">
        <f>IF(X5&lt;&gt;"S/H",AA6,AA7)</f>
        <v>158.28596762908052</v>
      </c>
      <c r="AA7" s="111">
        <v>250</v>
      </c>
      <c r="AB7" s="2" t="s">
        <v>226</v>
      </c>
    </row>
    <row r="8" spans="1:21" ht="11.25" customHeight="1">
      <c r="A8" s="3">
        <v>6</v>
      </c>
      <c r="B8" s="145" t="s">
        <v>45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31" ht="11.25" customHeight="1">
      <c r="A9" s="3">
        <v>7</v>
      </c>
      <c r="B9" s="140" t="s">
        <v>46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47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46</v>
      </c>
      <c r="Y9" s="157"/>
      <c r="Z9" s="157"/>
      <c r="AA9" s="157"/>
      <c r="AB9" s="156" t="s">
        <v>47</v>
      </c>
      <c r="AC9" s="157"/>
      <c r="AD9" s="157"/>
      <c r="AE9" s="157"/>
    </row>
    <row r="10" spans="1:31" ht="11.25" customHeight="1">
      <c r="A10" s="3">
        <v>8</v>
      </c>
      <c r="B10" s="10" t="s">
        <v>48</v>
      </c>
      <c r="C10" s="11"/>
      <c r="D10" s="11"/>
      <c r="E10" s="11"/>
      <c r="F10" s="11"/>
      <c r="G10" s="161" t="s">
        <v>49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50</v>
      </c>
      <c r="R10" s="161"/>
      <c r="S10" s="161"/>
      <c r="T10" s="11"/>
      <c r="U10" s="15"/>
      <c r="V10" s="10" t="s">
        <v>51</v>
      </c>
      <c r="W10" s="15"/>
      <c r="X10" s="158" t="s">
        <v>20</v>
      </c>
      <c r="Y10" s="159"/>
      <c r="Z10" s="159"/>
      <c r="AA10" s="160"/>
      <c r="AB10" s="158"/>
      <c r="AC10" s="159"/>
      <c r="AD10" s="159"/>
      <c r="AE10" s="159"/>
    </row>
    <row r="11" spans="1:31" ht="11.25" customHeight="1">
      <c r="A11" s="3">
        <v>9</v>
      </c>
      <c r="B11" s="6" t="s">
        <v>228</v>
      </c>
      <c r="C11" s="7"/>
      <c r="D11" s="7"/>
      <c r="E11" s="7"/>
      <c r="F11" s="7"/>
      <c r="G11" s="153">
        <f>X6</f>
        <v>5</v>
      </c>
      <c r="H11" s="153"/>
      <c r="I11" s="153"/>
      <c r="J11" s="7" t="str">
        <f>Y6</f>
        <v>kg/cm2.g</v>
      </c>
      <c r="K11" s="7"/>
      <c r="L11" s="6" t="s">
        <v>52</v>
      </c>
      <c r="M11" s="7"/>
      <c r="N11" s="7"/>
      <c r="O11" s="28" t="s">
        <v>53</v>
      </c>
      <c r="P11" s="7" t="s">
        <v>54</v>
      </c>
      <c r="Q11" s="164">
        <v>65</v>
      </c>
      <c r="R11" s="164"/>
      <c r="S11" s="164"/>
      <c r="T11" s="7" t="str">
        <f>J12</f>
        <v>℃</v>
      </c>
      <c r="U11" s="1"/>
      <c r="V11" s="6" t="s">
        <v>55</v>
      </c>
      <c r="W11" s="1"/>
      <c r="X11" s="152" t="s">
        <v>21</v>
      </c>
      <c r="Y11" s="153"/>
      <c r="Z11" s="153"/>
      <c r="AA11" s="154"/>
      <c r="AB11" s="152"/>
      <c r="AC11" s="153"/>
      <c r="AD11" s="153"/>
      <c r="AE11" s="153"/>
    </row>
    <row r="12" spans="1:21" ht="11.25" customHeight="1">
      <c r="A12" s="3">
        <v>10</v>
      </c>
      <c r="B12" s="6" t="s">
        <v>229</v>
      </c>
      <c r="C12" s="7"/>
      <c r="D12" s="7"/>
      <c r="E12" s="28" t="s">
        <v>56</v>
      </c>
      <c r="F12" s="7" t="s">
        <v>54</v>
      </c>
      <c r="G12" s="163">
        <f>X7</f>
        <v>158.28596762908052</v>
      </c>
      <c r="H12" s="163"/>
      <c r="I12" s="163"/>
      <c r="J12" s="7" t="s">
        <v>19</v>
      </c>
      <c r="K12" s="7"/>
      <c r="L12" s="6" t="s">
        <v>57</v>
      </c>
      <c r="M12" s="7"/>
      <c r="N12" s="7"/>
      <c r="O12" s="28" t="s">
        <v>56</v>
      </c>
      <c r="P12" s="7" t="s">
        <v>54</v>
      </c>
      <c r="Q12" s="164">
        <v>90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58</v>
      </c>
      <c r="C13" s="7"/>
      <c r="D13" s="7"/>
      <c r="E13" s="7"/>
      <c r="F13" s="7"/>
      <c r="G13" s="2" t="s">
        <v>29</v>
      </c>
      <c r="H13" s="7"/>
      <c r="I13" s="7"/>
      <c r="J13" s="7"/>
      <c r="K13" s="7"/>
      <c r="L13" s="6" t="s">
        <v>59</v>
      </c>
      <c r="M13" s="7"/>
      <c r="N13" s="7"/>
      <c r="O13" s="7"/>
      <c r="P13" s="7"/>
      <c r="Q13" s="2" t="s">
        <v>24</v>
      </c>
      <c r="R13" s="7"/>
      <c r="S13" s="7"/>
      <c r="T13" s="7"/>
      <c r="U13" s="1"/>
      <c r="V13" s="2" t="s">
        <v>60</v>
      </c>
      <c r="X13" s="2" t="s">
        <v>22</v>
      </c>
    </row>
    <row r="14" spans="1:28" ht="11.25" customHeight="1">
      <c r="A14" s="3">
        <v>12</v>
      </c>
      <c r="B14" s="10" t="s">
        <v>61</v>
      </c>
      <c r="C14" s="11"/>
      <c r="D14" s="11"/>
      <c r="E14" s="30" t="s">
        <v>62</v>
      </c>
      <c r="F14" s="11" t="s">
        <v>54</v>
      </c>
      <c r="G14" s="161">
        <v>21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AB14" s="2" t="s">
        <v>23</v>
      </c>
    </row>
    <row r="15" spans="1:21" ht="11.25" customHeight="1">
      <c r="A15" s="3">
        <v>13</v>
      </c>
      <c r="B15" s="145" t="s">
        <v>63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64</v>
      </c>
      <c r="C16" s="5" t="s">
        <v>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66</v>
      </c>
      <c r="C17" s="7" t="s">
        <v>67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68</v>
      </c>
      <c r="C18" s="7" t="s">
        <v>69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70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40"/>
      <c r="D20" s="85" t="s">
        <v>71</v>
      </c>
      <c r="E20" s="87">
        <f>S58</f>
        <v>-2.834595235796953</v>
      </c>
      <c r="F20" s="87">
        <f>S61</f>
        <v>1.7387228440799998</v>
      </c>
      <c r="G20" s="40" t="s">
        <v>72</v>
      </c>
      <c r="H20" s="40"/>
      <c r="I20" s="40"/>
      <c r="J20" s="40"/>
      <c r="K20" s="85" t="s">
        <v>71</v>
      </c>
      <c r="L20" s="87">
        <f>S46</f>
        <v>4.330333391243651</v>
      </c>
      <c r="M20" s="87">
        <f>S47</f>
        <v>4.382297391938575</v>
      </c>
      <c r="N20" s="40" t="s">
        <v>72</v>
      </c>
      <c r="O20" s="40"/>
      <c r="P20" s="40"/>
      <c r="Q20" s="85" t="str">
        <f>IF(R22="***","***","Δ (")</f>
        <v>Δ (</v>
      </c>
      <c r="R20" s="87">
        <f>IF(R22="***","***",S48)</f>
        <v>12.81778683808121</v>
      </c>
      <c r="S20" s="87">
        <f>IF(R22="***","***",S49)</f>
        <v>4.382297391938575</v>
      </c>
      <c r="T20" s="40" t="str">
        <f>IF(R22="***","***",")")</f>
        <v>)</v>
      </c>
      <c r="U20" s="34"/>
    </row>
    <row r="21" spans="1:21" ht="11.25" customHeight="1">
      <c r="A21" s="3">
        <v>19</v>
      </c>
      <c r="B21" s="41"/>
      <c r="C21" s="19"/>
      <c r="D21" s="31" t="str">
        <f>E22&amp;" ("</f>
        <v>N5 (</v>
      </c>
      <c r="E21" s="47">
        <f>-(F26+G26)</f>
        <v>-2100</v>
      </c>
      <c r="F21" s="47">
        <f>P25/2+C25/2+D23</f>
        <v>2482</v>
      </c>
      <c r="G21" s="19" t="s">
        <v>72</v>
      </c>
      <c r="H21" s="19"/>
      <c r="I21" s="19"/>
      <c r="J21" s="19"/>
      <c r="K21" s="31" t="str">
        <f>L22&amp;" ("</f>
        <v>N1 (</v>
      </c>
      <c r="L21" s="47">
        <f>J24</f>
        <v>2500</v>
      </c>
      <c r="M21" s="47">
        <f>P25+N23</f>
        <v>2530</v>
      </c>
      <c r="N21" s="19" t="s">
        <v>72</v>
      </c>
      <c r="O21" s="19"/>
      <c r="P21" s="19"/>
      <c r="Q21" s="31" t="str">
        <f>IF(R22="***","***",R22&amp;" (")</f>
        <v>N2 (</v>
      </c>
      <c r="R21" s="47">
        <f>IF(R22="***","***",L34+R24)</f>
        <v>7400</v>
      </c>
      <c r="S21" s="47">
        <f>IF(R22="***","***",P25+T23)</f>
        <v>2530</v>
      </c>
      <c r="T21" s="19" t="str">
        <f>IF(R22="***","***",")")</f>
        <v>)</v>
      </c>
      <c r="U21" s="42"/>
    </row>
    <row r="22" spans="1:21" ht="11.25" customHeight="1">
      <c r="A22" s="3">
        <v>20</v>
      </c>
      <c r="B22" s="41"/>
      <c r="C22" s="19"/>
      <c r="D22" s="19"/>
      <c r="E22" s="143" t="s">
        <v>222</v>
      </c>
      <c r="F22" s="143"/>
      <c r="G22" s="19"/>
      <c r="H22" s="19"/>
      <c r="I22" s="19"/>
      <c r="J22" s="19"/>
      <c r="K22" s="19"/>
      <c r="L22" s="143" t="s">
        <v>73</v>
      </c>
      <c r="M22" s="143"/>
      <c r="N22" s="19"/>
      <c r="O22" s="19"/>
      <c r="P22" s="19"/>
      <c r="Q22" s="19"/>
      <c r="R22" s="143" t="s">
        <v>230</v>
      </c>
      <c r="S22" s="143"/>
      <c r="T22" s="19"/>
      <c r="U22" s="42"/>
    </row>
    <row r="23" spans="1:21" ht="11.25" customHeight="1">
      <c r="A23" s="3">
        <v>21</v>
      </c>
      <c r="B23" s="106">
        <v>17</v>
      </c>
      <c r="C23" s="19" t="s">
        <v>74</v>
      </c>
      <c r="D23" s="82">
        <v>250</v>
      </c>
      <c r="E23" s="19"/>
      <c r="F23" s="19"/>
      <c r="G23" s="19"/>
      <c r="H23" s="19"/>
      <c r="I23" s="19"/>
      <c r="J23" s="19"/>
      <c r="K23" s="19"/>
      <c r="L23" s="19"/>
      <c r="M23" s="19"/>
      <c r="N23" s="82">
        <v>300</v>
      </c>
      <c r="O23" s="82">
        <v>15</v>
      </c>
      <c r="P23" s="46" t="s">
        <v>74</v>
      </c>
      <c r="Q23" s="19"/>
      <c r="R23" s="19"/>
      <c r="S23" s="19"/>
      <c r="T23" s="82">
        <v>300</v>
      </c>
      <c r="U23" s="42"/>
    </row>
    <row r="24" spans="1:21" ht="11.25" customHeight="1">
      <c r="A24" s="3">
        <v>22</v>
      </c>
      <c r="B24" s="80" t="s">
        <v>75</v>
      </c>
      <c r="C24" s="81" t="s">
        <v>76</v>
      </c>
      <c r="D24" s="19"/>
      <c r="E24" s="19"/>
      <c r="F24" s="19"/>
      <c r="G24" s="19"/>
      <c r="H24" s="19"/>
      <c r="I24" s="19"/>
      <c r="J24" s="144">
        <v>2500</v>
      </c>
      <c r="K24" s="144"/>
      <c r="L24" s="144"/>
      <c r="M24" s="19"/>
      <c r="N24" s="19"/>
      <c r="O24" s="81" t="s">
        <v>75</v>
      </c>
      <c r="P24" s="81" t="s">
        <v>76</v>
      </c>
      <c r="Q24" s="19"/>
      <c r="R24" s="82">
        <v>1500</v>
      </c>
      <c r="S24" s="19"/>
      <c r="T24" s="19"/>
      <c r="U24" s="42"/>
    </row>
    <row r="25" spans="1:21" ht="11.25" customHeight="1">
      <c r="A25" s="3">
        <v>23</v>
      </c>
      <c r="B25" s="148">
        <v>2200</v>
      </c>
      <c r="C25" s="149">
        <f>B25+2*B23</f>
        <v>2234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1">
        <v>2200</v>
      </c>
      <c r="P25" s="149">
        <f>O25+2*O23</f>
        <v>2230</v>
      </c>
      <c r="Q25" s="19"/>
      <c r="R25" s="19"/>
      <c r="S25" s="19"/>
      <c r="T25" s="19"/>
      <c r="U25" s="42"/>
    </row>
    <row r="26" spans="1:21" ht="11.25" customHeight="1">
      <c r="A26" s="3">
        <v>24</v>
      </c>
      <c r="B26" s="148"/>
      <c r="C26" s="149"/>
      <c r="D26" s="19"/>
      <c r="E26" s="19"/>
      <c r="F26" s="82">
        <v>900</v>
      </c>
      <c r="G26" s="144">
        <v>1200</v>
      </c>
      <c r="H26" s="144"/>
      <c r="I26" s="144"/>
      <c r="J26" s="19"/>
      <c r="K26" s="19"/>
      <c r="L26" s="19"/>
      <c r="M26" s="19"/>
      <c r="N26" s="19"/>
      <c r="O26" s="151"/>
      <c r="P26" s="149"/>
      <c r="Q26" s="19"/>
      <c r="R26" s="19"/>
      <c r="S26" s="19"/>
      <c r="T26" s="19"/>
      <c r="U26" s="42"/>
    </row>
    <row r="27" spans="1:21" ht="11.25" customHeight="1">
      <c r="A27" s="3">
        <v>25</v>
      </c>
      <c r="B27" s="148"/>
      <c r="C27" s="14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1"/>
      <c r="P27" s="149"/>
      <c r="Q27" s="19"/>
      <c r="R27" s="19"/>
      <c r="S27" s="19"/>
      <c r="T27" s="19"/>
      <c r="U27" s="42"/>
    </row>
    <row r="28" spans="1:21" ht="11.25" customHeight="1">
      <c r="A28" s="3">
        <v>26</v>
      </c>
      <c r="B28" s="148"/>
      <c r="C28" s="149"/>
      <c r="D28" s="19"/>
      <c r="E28" s="19"/>
      <c r="F28" s="19"/>
      <c r="G28" s="19"/>
      <c r="H28" s="150"/>
      <c r="I28" s="150"/>
      <c r="J28" s="144">
        <v>4000</v>
      </c>
      <c r="K28" s="144"/>
      <c r="L28" s="144"/>
      <c r="M28" s="19"/>
      <c r="N28" s="19"/>
      <c r="O28" s="151"/>
      <c r="P28" s="149"/>
      <c r="Q28" s="19"/>
      <c r="R28" s="19"/>
      <c r="S28" s="19"/>
      <c r="T28" s="19"/>
      <c r="U28" s="42"/>
    </row>
    <row r="29" spans="1:21" ht="11.25" customHeight="1">
      <c r="A29" s="3">
        <v>27</v>
      </c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C30" s="19"/>
      <c r="D30" s="82">
        <v>250</v>
      </c>
      <c r="E30" s="19"/>
      <c r="F30" s="19"/>
      <c r="G30" s="52"/>
      <c r="H30" s="19"/>
      <c r="I30" s="19"/>
      <c r="J30" s="19"/>
      <c r="K30" s="19"/>
      <c r="L30" s="19"/>
      <c r="M30" s="19"/>
      <c r="N30" s="82">
        <v>300</v>
      </c>
      <c r="O30" s="19"/>
      <c r="P30" s="19"/>
      <c r="Q30" s="19"/>
      <c r="R30" s="19"/>
      <c r="S30" s="19"/>
      <c r="T30" s="19"/>
      <c r="U30" s="42"/>
    </row>
    <row r="31" spans="1:21" ht="11.25" customHeight="1">
      <c r="A31" s="3">
        <v>29</v>
      </c>
      <c r="B31" s="41"/>
      <c r="C31" s="19"/>
      <c r="D31" s="19"/>
      <c r="E31" s="143" t="s">
        <v>25</v>
      </c>
      <c r="F31" s="143"/>
      <c r="G31" s="19"/>
      <c r="H31" s="22"/>
      <c r="I31" s="19"/>
      <c r="J31" s="19"/>
      <c r="K31" s="19"/>
      <c r="L31" s="143" t="s">
        <v>26</v>
      </c>
      <c r="M31" s="143"/>
      <c r="N31" s="19"/>
      <c r="O31" s="19"/>
      <c r="P31" s="19"/>
      <c r="Q31" s="19"/>
      <c r="R31" s="19"/>
      <c r="S31" s="19"/>
      <c r="T31" s="19"/>
      <c r="U31" s="42"/>
    </row>
    <row r="32" spans="1:21" ht="11.25" customHeight="1">
      <c r="A32" s="3">
        <v>30</v>
      </c>
      <c r="B32" s="41"/>
      <c r="C32" s="19"/>
      <c r="D32" s="31" t="str">
        <f>E31&amp;" ("</f>
        <v>N4 (</v>
      </c>
      <c r="E32" s="47">
        <f>E21</f>
        <v>-2100</v>
      </c>
      <c r="F32" s="47">
        <f>P25/2-(C25/2+D30)</f>
        <v>-252</v>
      </c>
      <c r="G32" s="46" t="s">
        <v>72</v>
      </c>
      <c r="H32" s="47"/>
      <c r="I32" s="47"/>
      <c r="J32" s="19"/>
      <c r="K32" s="31" t="str">
        <f>L31&amp;" ("</f>
        <v>N3 (</v>
      </c>
      <c r="L32" s="47">
        <f>J28</f>
        <v>4000</v>
      </c>
      <c r="M32" s="47">
        <f>-N30</f>
        <v>-300</v>
      </c>
      <c r="N32" s="19" t="s">
        <v>72</v>
      </c>
      <c r="O32" s="19"/>
      <c r="P32" s="19"/>
      <c r="Q32" s="143" t="s">
        <v>77</v>
      </c>
      <c r="R32" s="143"/>
      <c r="S32" s="19"/>
      <c r="T32" s="19"/>
      <c r="U32" s="42"/>
    </row>
    <row r="33" spans="1:21" ht="11.25" customHeight="1">
      <c r="A33" s="3">
        <v>31</v>
      </c>
      <c r="B33" s="84"/>
      <c r="C33" s="19"/>
      <c r="D33" s="31" t="s">
        <v>71</v>
      </c>
      <c r="E33" s="86">
        <f>S54</f>
        <v>-2.554254235796953</v>
      </c>
      <c r="F33" s="86">
        <f>S55</f>
        <v>-0.13213727999999997</v>
      </c>
      <c r="G33" s="19" t="s">
        <v>72</v>
      </c>
      <c r="H33" s="19"/>
      <c r="I33" s="19"/>
      <c r="J33" s="19"/>
      <c r="K33" s="31" t="s">
        <v>71</v>
      </c>
      <c r="L33" s="86">
        <f>S50</f>
        <v>6.928533425989843</v>
      </c>
      <c r="M33" s="86">
        <f>S51</f>
        <v>-0.5196400069492382</v>
      </c>
      <c r="N33" s="19" t="s">
        <v>72</v>
      </c>
      <c r="O33" s="19"/>
      <c r="P33" s="31" t="str">
        <f>Q32&amp;" ("</f>
        <v>SS (</v>
      </c>
      <c r="Q33" s="53">
        <f>L34</f>
        <v>5900</v>
      </c>
      <c r="R33" s="107">
        <v>0</v>
      </c>
      <c r="S33" s="19" t="s">
        <v>72</v>
      </c>
      <c r="T33" s="19"/>
      <c r="U33" s="42"/>
    </row>
    <row r="34" spans="1:21" ht="11.25" customHeight="1">
      <c r="A34" s="3">
        <v>32</v>
      </c>
      <c r="B34" s="41"/>
      <c r="C34" s="19"/>
      <c r="D34" s="19"/>
      <c r="E34" s="19"/>
      <c r="F34" s="19"/>
      <c r="G34" s="19"/>
      <c r="H34" s="19"/>
      <c r="I34" s="19"/>
      <c r="J34" s="19"/>
      <c r="K34" s="19"/>
      <c r="L34" s="144">
        <v>5900</v>
      </c>
      <c r="M34" s="144"/>
      <c r="N34" s="144"/>
      <c r="O34" s="144"/>
      <c r="P34" s="31" t="s">
        <v>71</v>
      </c>
      <c r="Q34" s="86">
        <f>S44</f>
        <v>10.219586803335018</v>
      </c>
      <c r="R34" s="86">
        <f>S45</f>
        <v>0</v>
      </c>
      <c r="S34" s="19" t="s">
        <v>72</v>
      </c>
      <c r="T34" s="19"/>
      <c r="U34" s="42"/>
    </row>
    <row r="35" spans="1:21" ht="11.25" customHeight="1">
      <c r="A35" s="3">
        <v>33</v>
      </c>
      <c r="B35" s="4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4"/>
    </row>
    <row r="36" spans="1:21" ht="11.25" customHeight="1">
      <c r="A36" s="3">
        <v>34</v>
      </c>
      <c r="B36" s="145" t="s">
        <v>78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ht="11.25" customHeight="1">
      <c r="A37" s="3">
        <v>35</v>
      </c>
      <c r="B37" s="33"/>
      <c r="C37" s="40"/>
      <c r="D37" s="40"/>
      <c r="E37" s="40"/>
      <c r="F37" s="40"/>
      <c r="G37" s="40"/>
      <c r="H37" s="11"/>
      <c r="I37" s="139" t="str">
        <f>B13</f>
        <v> Shell Material</v>
      </c>
      <c r="J37" s="139"/>
      <c r="K37" s="139"/>
      <c r="L37" s="139"/>
      <c r="M37" s="139"/>
      <c r="N37" s="140" t="str">
        <f>L13</f>
        <v> Channel Material</v>
      </c>
      <c r="O37" s="139"/>
      <c r="P37" s="139"/>
      <c r="Q37" s="139"/>
      <c r="R37" s="139"/>
      <c r="S37" s="11"/>
      <c r="T37" s="11"/>
      <c r="U37" s="15"/>
    </row>
    <row r="38" spans="1:21" ht="11.25" customHeight="1">
      <c r="A38" s="3">
        <v>36</v>
      </c>
      <c r="B38" s="129" t="s">
        <v>220</v>
      </c>
      <c r="C38" s="130"/>
      <c r="D38" s="130"/>
      <c r="E38" s="130"/>
      <c r="F38" s="130"/>
      <c r="G38" s="130"/>
      <c r="H38" s="28" t="s">
        <v>79</v>
      </c>
      <c r="I38" s="36" t="s">
        <v>80</v>
      </c>
      <c r="J38" s="11" t="s">
        <v>81</v>
      </c>
      <c r="K38" s="11"/>
      <c r="L38" s="137">
        <f>alphaTEMA(mindex(G13,40),G12,J12)</f>
        <v>12.48089307023644</v>
      </c>
      <c r="M38" s="137"/>
      <c r="N38" s="35" t="s">
        <v>80</v>
      </c>
      <c r="O38" s="11" t="s">
        <v>82</v>
      </c>
      <c r="P38" s="11"/>
      <c r="Q38" s="137">
        <f>alphaTEMA(mindex(Q13,40),Q11,T11)</f>
        <v>11.876399999999999</v>
      </c>
      <c r="R38" s="137"/>
      <c r="S38" s="7" t="s">
        <v>83</v>
      </c>
      <c r="T38" s="7"/>
      <c r="U38" s="1"/>
    </row>
    <row r="39" spans="1:21" ht="11.25" customHeight="1">
      <c r="A39" s="3">
        <v>37</v>
      </c>
      <c r="B39" s="129"/>
      <c r="C39" s="130"/>
      <c r="D39" s="130"/>
      <c r="E39" s="130"/>
      <c r="F39" s="130"/>
      <c r="G39" s="130"/>
      <c r="H39" s="7"/>
      <c r="I39" s="7"/>
      <c r="J39" s="7"/>
      <c r="K39" s="7"/>
      <c r="L39" s="7"/>
      <c r="M39" s="7"/>
      <c r="N39" s="37" t="s">
        <v>80</v>
      </c>
      <c r="O39" s="7" t="s">
        <v>84</v>
      </c>
      <c r="P39" s="7"/>
      <c r="Q39" s="141">
        <f>alphaTEMA(mindex(Q13,40),Q12,T12)</f>
        <v>12.0384</v>
      </c>
      <c r="R39" s="141"/>
      <c r="S39" s="7" t="str">
        <f>S38</f>
        <v>mm / mm ℃ / 10^6</v>
      </c>
      <c r="T39" s="7"/>
      <c r="U39" s="1"/>
    </row>
    <row r="40" spans="1:21" ht="11.25" customHeight="1">
      <c r="A40" s="3">
        <v>38</v>
      </c>
      <c r="B40" s="43"/>
      <c r="C40" s="23"/>
      <c r="D40" s="23"/>
      <c r="E40" s="23"/>
      <c r="F40" s="23"/>
      <c r="G40" s="23"/>
      <c r="H40" s="29" t="s">
        <v>85</v>
      </c>
      <c r="I40" s="64" t="s">
        <v>80</v>
      </c>
      <c r="J40" s="8" t="s">
        <v>86</v>
      </c>
      <c r="K40" s="8"/>
      <c r="L40" s="138">
        <f>alphaTEMA(mindex(G13,40),G14,J14)</f>
        <v>11.591279999999998</v>
      </c>
      <c r="M40" s="138"/>
      <c r="N40" s="68" t="s">
        <v>80</v>
      </c>
      <c r="O40" s="17" t="str">
        <f>J40</f>
        <v>Ambient Temp.</v>
      </c>
      <c r="P40" s="17"/>
      <c r="Q40" s="142">
        <f>alphaTEMA(mindex(Q13,40),G14,J14)</f>
        <v>11.591279999999998</v>
      </c>
      <c r="R40" s="142"/>
      <c r="S40" s="8" t="str">
        <f>S38</f>
        <v>mm / mm ℃ / 10^6</v>
      </c>
      <c r="T40" s="8"/>
      <c r="U40" s="12"/>
    </row>
    <row r="41" spans="1:21" ht="11.25" customHeight="1">
      <c r="A41" s="3">
        <v>39</v>
      </c>
      <c r="B41" s="77" t="s">
        <v>87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</row>
    <row r="42" spans="1:21" ht="11.25" customHeight="1">
      <c r="A42" s="3">
        <v>40</v>
      </c>
      <c r="B42" s="41"/>
      <c r="C42" s="45" t="s">
        <v>88</v>
      </c>
      <c r="D42" s="19" t="s">
        <v>54</v>
      </c>
      <c r="E42" s="19" t="s">
        <v>89</v>
      </c>
      <c r="F42" s="19"/>
      <c r="G42" s="19"/>
      <c r="H42" s="19"/>
      <c r="I42" s="19"/>
      <c r="J42" s="19"/>
      <c r="K42" s="31" t="s">
        <v>90</v>
      </c>
      <c r="L42" s="45" t="s">
        <v>91</v>
      </c>
      <c r="M42" s="19" t="s">
        <v>92</v>
      </c>
      <c r="N42" s="19"/>
      <c r="O42" s="19" t="s">
        <v>93</v>
      </c>
      <c r="P42" s="78" t="s">
        <v>94</v>
      </c>
      <c r="Q42" s="19" t="s">
        <v>95</v>
      </c>
      <c r="R42" s="19"/>
      <c r="S42" s="19"/>
      <c r="T42" s="19"/>
      <c r="U42" s="79" t="s">
        <v>96</v>
      </c>
    </row>
    <row r="43" spans="1:21" ht="11.25" customHeight="1">
      <c r="A43" s="3">
        <v>41</v>
      </c>
      <c r="B43" s="43"/>
      <c r="C43" s="23"/>
      <c r="D43" s="23"/>
      <c r="E43" s="23"/>
      <c r="F43" s="23"/>
      <c r="G43" s="23"/>
      <c r="H43" s="23"/>
      <c r="I43" s="23"/>
      <c r="J43" s="23"/>
      <c r="K43" s="23"/>
      <c r="L43" s="102" t="s">
        <v>88</v>
      </c>
      <c r="M43" s="23" t="s">
        <v>97</v>
      </c>
      <c r="N43" s="23"/>
      <c r="O43" s="23" t="s">
        <v>93</v>
      </c>
      <c r="P43" s="23"/>
      <c r="Q43" s="23"/>
      <c r="R43" s="23"/>
      <c r="S43" s="23"/>
      <c r="T43" s="23"/>
      <c r="U43" s="44"/>
    </row>
    <row r="44" spans="1:21" ht="11.25" customHeight="1">
      <c r="A44" s="3">
        <v>42</v>
      </c>
      <c r="B44" s="132" t="s">
        <v>98</v>
      </c>
      <c r="C44" s="123" t="str">
        <f>Q32</f>
        <v>SS</v>
      </c>
      <c r="D44" s="11" t="s">
        <v>99</v>
      </c>
      <c r="E44" s="11" t="s">
        <v>54</v>
      </c>
      <c r="F44" s="131">
        <f>Q33</f>
        <v>5900</v>
      </c>
      <c r="G44" s="131"/>
      <c r="H44" s="36" t="s">
        <v>100</v>
      </c>
      <c r="I44" s="57">
        <f>L38</f>
        <v>12.48089307023644</v>
      </c>
      <c r="J44" s="36" t="s">
        <v>101</v>
      </c>
      <c r="K44" s="57">
        <f>tempconv(G12,J12,"℃")</f>
        <v>158.28596762908052</v>
      </c>
      <c r="L44" s="36" t="s">
        <v>102</v>
      </c>
      <c r="M44" s="57">
        <f>L40</f>
        <v>11.591279999999998</v>
      </c>
      <c r="N44" s="36" t="s">
        <v>101</v>
      </c>
      <c r="O44" s="57">
        <f>tempconv(G14,J14,"℃")</f>
        <v>21</v>
      </c>
      <c r="P44" s="58" t="s">
        <v>103</v>
      </c>
      <c r="Q44" s="11"/>
      <c r="R44" s="36" t="s">
        <v>54</v>
      </c>
      <c r="S44" s="133">
        <f>F44*(I44*K44-M44*O44)/10^6</f>
        <v>10.219586803335018</v>
      </c>
      <c r="T44" s="133"/>
      <c r="U44" s="59" t="s">
        <v>93</v>
      </c>
    </row>
    <row r="45" spans="1:21" ht="11.25" customHeight="1">
      <c r="A45" s="3">
        <v>43</v>
      </c>
      <c r="B45" s="118"/>
      <c r="C45" s="124"/>
      <c r="D45" s="17" t="s">
        <v>104</v>
      </c>
      <c r="E45" s="17" t="s">
        <v>54</v>
      </c>
      <c r="F45" s="125">
        <f>R33</f>
        <v>0</v>
      </c>
      <c r="G45" s="125"/>
      <c r="H45" s="60" t="s">
        <v>100</v>
      </c>
      <c r="I45" s="61">
        <f>I44</f>
        <v>12.48089307023644</v>
      </c>
      <c r="J45" s="60" t="s">
        <v>101</v>
      </c>
      <c r="K45" s="61">
        <f>K44</f>
        <v>158.28596762908052</v>
      </c>
      <c r="L45" s="60" t="s">
        <v>102</v>
      </c>
      <c r="M45" s="61">
        <f>M44</f>
        <v>11.591279999999998</v>
      </c>
      <c r="N45" s="60" t="s">
        <v>101</v>
      </c>
      <c r="O45" s="61">
        <f>O44</f>
        <v>21</v>
      </c>
      <c r="P45" s="62" t="s">
        <v>103</v>
      </c>
      <c r="Q45" s="17"/>
      <c r="R45" s="60" t="s">
        <v>54</v>
      </c>
      <c r="S45" s="122">
        <f>F45*(I45*K45-M45*O45)/10^6</f>
        <v>0</v>
      </c>
      <c r="T45" s="122"/>
      <c r="U45" s="63" t="s">
        <v>93</v>
      </c>
    </row>
    <row r="46" spans="1:21" ht="11.25" customHeight="1">
      <c r="A46" s="3">
        <v>44</v>
      </c>
      <c r="B46" s="132" t="s">
        <v>98</v>
      </c>
      <c r="C46" s="123" t="str">
        <f>L22</f>
        <v>N1</v>
      </c>
      <c r="D46" s="5" t="s">
        <v>99</v>
      </c>
      <c r="E46" s="5" t="s">
        <v>54</v>
      </c>
      <c r="F46" s="119">
        <f>L21</f>
        <v>2500</v>
      </c>
      <c r="G46" s="119"/>
      <c r="H46" s="38" t="s">
        <v>100</v>
      </c>
      <c r="I46" s="54">
        <f>L38</f>
        <v>12.48089307023644</v>
      </c>
      <c r="J46" s="38" t="s">
        <v>101</v>
      </c>
      <c r="K46" s="54">
        <f>tempconv(G12,J12,"℃")</f>
        <v>158.28596762908052</v>
      </c>
      <c r="L46" s="38" t="s">
        <v>102</v>
      </c>
      <c r="M46" s="54">
        <f>L40</f>
        <v>11.591279999999998</v>
      </c>
      <c r="N46" s="38" t="s">
        <v>101</v>
      </c>
      <c r="O46" s="54">
        <f>tempconv(G14,J14,"℃")</f>
        <v>21</v>
      </c>
      <c r="P46" s="55" t="s">
        <v>103</v>
      </c>
      <c r="Q46" s="5"/>
      <c r="R46" s="38" t="s">
        <v>54</v>
      </c>
      <c r="S46" s="126">
        <f>F46*(I46*K46-M46*O46)/10^6</f>
        <v>4.330333391243651</v>
      </c>
      <c r="T46" s="126"/>
      <c r="U46" s="56" t="s">
        <v>93</v>
      </c>
    </row>
    <row r="47" spans="1:21" ht="11.25" customHeight="1">
      <c r="A47" s="3">
        <v>45</v>
      </c>
      <c r="B47" s="118"/>
      <c r="C47" s="124"/>
      <c r="D47" s="8" t="s">
        <v>104</v>
      </c>
      <c r="E47" s="8" t="s">
        <v>54</v>
      </c>
      <c r="F47" s="128">
        <f>M21</f>
        <v>2530</v>
      </c>
      <c r="G47" s="128"/>
      <c r="H47" s="64" t="s">
        <v>100</v>
      </c>
      <c r="I47" s="65">
        <f>I46</f>
        <v>12.48089307023644</v>
      </c>
      <c r="J47" s="64" t="s">
        <v>101</v>
      </c>
      <c r="K47" s="65">
        <f>K46</f>
        <v>158.28596762908052</v>
      </c>
      <c r="L47" s="64" t="s">
        <v>102</v>
      </c>
      <c r="M47" s="65">
        <f>M46</f>
        <v>11.591279999999998</v>
      </c>
      <c r="N47" s="64" t="s">
        <v>101</v>
      </c>
      <c r="O47" s="65">
        <f>O46</f>
        <v>21</v>
      </c>
      <c r="P47" s="66" t="s">
        <v>103</v>
      </c>
      <c r="Q47" s="8"/>
      <c r="R47" s="64" t="s">
        <v>54</v>
      </c>
      <c r="S47" s="127">
        <f>F47*(I47*K47-M47*O47)/10^6</f>
        <v>4.382297391938575</v>
      </c>
      <c r="T47" s="127"/>
      <c r="U47" s="67" t="s">
        <v>93</v>
      </c>
    </row>
    <row r="48" spans="1:21" ht="11.25" customHeight="1">
      <c r="A48" s="3">
        <v>46</v>
      </c>
      <c r="B48" s="132" t="s">
        <v>98</v>
      </c>
      <c r="C48" s="123" t="str">
        <f>R22</f>
        <v>N2</v>
      </c>
      <c r="D48" s="11" t="s">
        <v>99</v>
      </c>
      <c r="E48" s="11" t="s">
        <v>54</v>
      </c>
      <c r="F48" s="131">
        <f>R21</f>
        <v>7400</v>
      </c>
      <c r="G48" s="131"/>
      <c r="H48" s="36" t="s">
        <v>100</v>
      </c>
      <c r="I48" s="57">
        <f>L38</f>
        <v>12.48089307023644</v>
      </c>
      <c r="J48" s="36" t="s">
        <v>101</v>
      </c>
      <c r="K48" s="57">
        <f>tempconv(G12,J12,"℃")</f>
        <v>158.28596762908052</v>
      </c>
      <c r="L48" s="36" t="s">
        <v>102</v>
      </c>
      <c r="M48" s="57">
        <f>L40</f>
        <v>11.591279999999998</v>
      </c>
      <c r="N48" s="36" t="s">
        <v>101</v>
      </c>
      <c r="O48" s="57">
        <f>tempconv(G14,J14,"℃")</f>
        <v>21</v>
      </c>
      <c r="P48" s="58" t="s">
        <v>103</v>
      </c>
      <c r="Q48" s="11"/>
      <c r="R48" s="36" t="s">
        <v>54</v>
      </c>
      <c r="S48" s="133">
        <f>IF(C48="***","***",F48*(I48*K48-M48*O48)/10^6)</f>
        <v>12.81778683808121</v>
      </c>
      <c r="T48" s="133"/>
      <c r="U48" s="59" t="s">
        <v>93</v>
      </c>
    </row>
    <row r="49" spans="1:21" ht="11.25" customHeight="1">
      <c r="A49" s="3">
        <v>47</v>
      </c>
      <c r="B49" s="118"/>
      <c r="C49" s="124"/>
      <c r="D49" s="17" t="s">
        <v>104</v>
      </c>
      <c r="E49" s="17" t="s">
        <v>54</v>
      </c>
      <c r="F49" s="125">
        <f>S21</f>
        <v>2530</v>
      </c>
      <c r="G49" s="125"/>
      <c r="H49" s="60" t="s">
        <v>100</v>
      </c>
      <c r="I49" s="61">
        <f>I48</f>
        <v>12.48089307023644</v>
      </c>
      <c r="J49" s="60" t="s">
        <v>101</v>
      </c>
      <c r="K49" s="61">
        <f>K48</f>
        <v>158.28596762908052</v>
      </c>
      <c r="L49" s="60" t="s">
        <v>102</v>
      </c>
      <c r="M49" s="61">
        <f>M48</f>
        <v>11.591279999999998</v>
      </c>
      <c r="N49" s="60" t="s">
        <v>101</v>
      </c>
      <c r="O49" s="61">
        <f>O48</f>
        <v>21</v>
      </c>
      <c r="P49" s="62" t="s">
        <v>103</v>
      </c>
      <c r="Q49" s="17"/>
      <c r="R49" s="60" t="s">
        <v>54</v>
      </c>
      <c r="S49" s="122">
        <f>IF(C48="***","***",F49*(I49*K49-M49*O49)/10^6)</f>
        <v>4.382297391938575</v>
      </c>
      <c r="T49" s="122"/>
      <c r="U49" s="63" t="s">
        <v>93</v>
      </c>
    </row>
    <row r="50" spans="1:21" ht="11.25" customHeight="1">
      <c r="A50" s="3">
        <v>48</v>
      </c>
      <c r="B50" s="132" t="s">
        <v>98</v>
      </c>
      <c r="C50" s="123" t="str">
        <f>L31</f>
        <v>N3</v>
      </c>
      <c r="D50" s="11" t="s">
        <v>99</v>
      </c>
      <c r="E50" s="11" t="s">
        <v>54</v>
      </c>
      <c r="F50" s="131">
        <f>L32</f>
        <v>4000</v>
      </c>
      <c r="G50" s="131"/>
      <c r="H50" s="36" t="s">
        <v>100</v>
      </c>
      <c r="I50" s="57">
        <f>L38</f>
        <v>12.48089307023644</v>
      </c>
      <c r="J50" s="36" t="s">
        <v>101</v>
      </c>
      <c r="K50" s="57">
        <f>tempconv(G12,J12,"℃")</f>
        <v>158.28596762908052</v>
      </c>
      <c r="L50" s="36" t="s">
        <v>102</v>
      </c>
      <c r="M50" s="57">
        <f>L40</f>
        <v>11.591279999999998</v>
      </c>
      <c r="N50" s="36" t="s">
        <v>101</v>
      </c>
      <c r="O50" s="57">
        <f>tempconv(G14,J14,"℃")</f>
        <v>21</v>
      </c>
      <c r="P50" s="58" t="s">
        <v>103</v>
      </c>
      <c r="Q50" s="11"/>
      <c r="R50" s="36" t="s">
        <v>54</v>
      </c>
      <c r="S50" s="133">
        <f>IF(C50="***","***",F50*(I50*K50-M50*O50)/10^6)</f>
        <v>6.928533425989843</v>
      </c>
      <c r="T50" s="133"/>
      <c r="U50" s="59" t="s">
        <v>93</v>
      </c>
    </row>
    <row r="51" spans="1:21" ht="11.25" customHeight="1">
      <c r="A51" s="3">
        <v>49</v>
      </c>
      <c r="B51" s="118"/>
      <c r="C51" s="124"/>
      <c r="D51" s="17" t="s">
        <v>104</v>
      </c>
      <c r="E51" s="17" t="s">
        <v>54</v>
      </c>
      <c r="F51" s="125">
        <f>M32</f>
        <v>-300</v>
      </c>
      <c r="G51" s="125"/>
      <c r="H51" s="60" t="s">
        <v>100</v>
      </c>
      <c r="I51" s="61">
        <f>I50</f>
        <v>12.48089307023644</v>
      </c>
      <c r="J51" s="60" t="s">
        <v>101</v>
      </c>
      <c r="K51" s="61">
        <f>K50</f>
        <v>158.28596762908052</v>
      </c>
      <c r="L51" s="60" t="s">
        <v>102</v>
      </c>
      <c r="M51" s="61">
        <f>M50</f>
        <v>11.591279999999998</v>
      </c>
      <c r="N51" s="60" t="s">
        <v>101</v>
      </c>
      <c r="O51" s="61">
        <f>O50</f>
        <v>21</v>
      </c>
      <c r="P51" s="62" t="s">
        <v>103</v>
      </c>
      <c r="Q51" s="17"/>
      <c r="R51" s="60" t="s">
        <v>54</v>
      </c>
      <c r="S51" s="122">
        <f>IF(C50="***","***",F51*(I51*K51-M51*O51)/10^6)</f>
        <v>-0.5196400069492382</v>
      </c>
      <c r="T51" s="122"/>
      <c r="U51" s="63" t="s">
        <v>93</v>
      </c>
    </row>
    <row r="52" spans="1:21" ht="11.25" customHeight="1">
      <c r="A52" s="3">
        <v>50</v>
      </c>
      <c r="B52" s="33"/>
      <c r="C52" s="69"/>
      <c r="D52" s="11" t="s">
        <v>105</v>
      </c>
      <c r="E52" s="11" t="s">
        <v>54</v>
      </c>
      <c r="F52" s="131">
        <f>F56</f>
        <v>-1200</v>
      </c>
      <c r="G52" s="131"/>
      <c r="H52" s="36" t="s">
        <v>100</v>
      </c>
      <c r="I52" s="57">
        <f>I56</f>
        <v>12.48089307023644</v>
      </c>
      <c r="J52" s="36" t="s">
        <v>101</v>
      </c>
      <c r="K52" s="57">
        <f>K56</f>
        <v>158.28596762908052</v>
      </c>
      <c r="L52" s="36" t="s">
        <v>102</v>
      </c>
      <c r="M52" s="57">
        <f>M56</f>
        <v>11.591279999999998</v>
      </c>
      <c r="N52" s="36" t="s">
        <v>101</v>
      </c>
      <c r="O52" s="57">
        <f>O56</f>
        <v>21</v>
      </c>
      <c r="P52" s="58" t="s">
        <v>103</v>
      </c>
      <c r="Q52" s="11"/>
      <c r="R52" s="36" t="s">
        <v>54</v>
      </c>
      <c r="S52" s="135">
        <f>F52*(I52*K52-M52*O52)/10^6</f>
        <v>-2.0785600277969527</v>
      </c>
      <c r="T52" s="135"/>
      <c r="U52" s="59" t="s">
        <v>93</v>
      </c>
    </row>
    <row r="53" spans="1:21" ht="11.25" customHeight="1">
      <c r="A53" s="3">
        <v>51</v>
      </c>
      <c r="B53" s="41" t="s">
        <v>98</v>
      </c>
      <c r="C53" s="45" t="str">
        <f>E31</f>
        <v>N4</v>
      </c>
      <c r="D53" s="7" t="s">
        <v>106</v>
      </c>
      <c r="E53" s="7" t="s">
        <v>54</v>
      </c>
      <c r="F53" s="120">
        <f>F57</f>
        <v>-900</v>
      </c>
      <c r="G53" s="120"/>
      <c r="H53" s="32" t="s">
        <v>100</v>
      </c>
      <c r="I53" s="48">
        <f>Q38</f>
        <v>11.876399999999999</v>
      </c>
      <c r="J53" s="32" t="s">
        <v>101</v>
      </c>
      <c r="K53" s="48">
        <f>tempconv(Q11,T11,"℃")</f>
        <v>65</v>
      </c>
      <c r="L53" s="32" t="s">
        <v>102</v>
      </c>
      <c r="M53" s="48">
        <f>M57</f>
        <v>11.591279999999998</v>
      </c>
      <c r="N53" s="32" t="s">
        <v>101</v>
      </c>
      <c r="O53" s="48">
        <f>O57</f>
        <v>21</v>
      </c>
      <c r="P53" s="50" t="s">
        <v>103</v>
      </c>
      <c r="Q53" s="7"/>
      <c r="R53" s="32" t="s">
        <v>54</v>
      </c>
      <c r="S53" s="121">
        <f>F53*(I53*K53-M53*O53)/10^6</f>
        <v>-0.47569420799999995</v>
      </c>
      <c r="T53" s="121"/>
      <c r="U53" s="49" t="s">
        <v>93</v>
      </c>
    </row>
    <row r="54" spans="1:21" ht="11.25" customHeight="1">
      <c r="A54" s="3">
        <v>52</v>
      </c>
      <c r="B54" s="41"/>
      <c r="C54" s="19"/>
      <c r="D54" s="8" t="s">
        <v>99</v>
      </c>
      <c r="E54" s="8" t="s">
        <v>54</v>
      </c>
      <c r="F54" s="64" t="s">
        <v>105</v>
      </c>
      <c r="G54" s="64" t="s">
        <v>107</v>
      </c>
      <c r="H54" s="64" t="s">
        <v>106</v>
      </c>
      <c r="I54" s="8"/>
      <c r="J54" s="8"/>
      <c r="K54" s="8"/>
      <c r="L54" s="8"/>
      <c r="M54" s="8"/>
      <c r="N54" s="8"/>
      <c r="O54" s="8"/>
      <c r="P54" s="8"/>
      <c r="Q54" s="8"/>
      <c r="R54" s="64" t="s">
        <v>54</v>
      </c>
      <c r="S54" s="127">
        <f>S52+S53</f>
        <v>-2.554254235796953</v>
      </c>
      <c r="T54" s="127"/>
      <c r="U54" s="67" t="s">
        <v>93</v>
      </c>
    </row>
    <row r="55" spans="1:21" ht="11.25" customHeight="1">
      <c r="A55" s="3">
        <v>53</v>
      </c>
      <c r="B55" s="43"/>
      <c r="C55" s="23"/>
      <c r="D55" s="70" t="s">
        <v>104</v>
      </c>
      <c r="E55" s="70" t="s">
        <v>54</v>
      </c>
      <c r="F55" s="136">
        <f>-D30</f>
        <v>-250</v>
      </c>
      <c r="G55" s="136"/>
      <c r="H55" s="71" t="s">
        <v>100</v>
      </c>
      <c r="I55" s="72">
        <f>I53</f>
        <v>11.876399999999999</v>
      </c>
      <c r="J55" s="71" t="s">
        <v>101</v>
      </c>
      <c r="K55" s="72">
        <f>K53</f>
        <v>65</v>
      </c>
      <c r="L55" s="71" t="s">
        <v>102</v>
      </c>
      <c r="M55" s="72">
        <f>M53</f>
        <v>11.591279999999998</v>
      </c>
      <c r="N55" s="71" t="s">
        <v>101</v>
      </c>
      <c r="O55" s="72">
        <f>O53</f>
        <v>21</v>
      </c>
      <c r="P55" s="73" t="s">
        <v>103</v>
      </c>
      <c r="Q55" s="70"/>
      <c r="R55" s="71" t="s">
        <v>54</v>
      </c>
      <c r="S55" s="117">
        <f>F55*(I55*K55-M55*O55)/10^6</f>
        <v>-0.13213727999999997</v>
      </c>
      <c r="T55" s="117"/>
      <c r="U55" s="74" t="s">
        <v>93</v>
      </c>
    </row>
    <row r="56" spans="1:21" ht="11.25" customHeight="1">
      <c r="A56" s="3">
        <v>54</v>
      </c>
      <c r="B56" s="33"/>
      <c r="C56" s="69"/>
      <c r="D56" s="5" t="s">
        <v>105</v>
      </c>
      <c r="E56" s="5" t="s">
        <v>54</v>
      </c>
      <c r="F56" s="119">
        <f>-G26</f>
        <v>-1200</v>
      </c>
      <c r="G56" s="119"/>
      <c r="H56" s="38" t="s">
        <v>100</v>
      </c>
      <c r="I56" s="54">
        <f>L38</f>
        <v>12.48089307023644</v>
      </c>
      <c r="J56" s="38" t="s">
        <v>101</v>
      </c>
      <c r="K56" s="54">
        <f>tempconv(G12,J12,"℃")</f>
        <v>158.28596762908052</v>
      </c>
      <c r="L56" s="38" t="s">
        <v>102</v>
      </c>
      <c r="M56" s="54">
        <f>L40</f>
        <v>11.591279999999998</v>
      </c>
      <c r="N56" s="38" t="s">
        <v>101</v>
      </c>
      <c r="O56" s="54">
        <f>tempconv(G14,J14,"℃")</f>
        <v>21</v>
      </c>
      <c r="P56" s="55" t="s">
        <v>103</v>
      </c>
      <c r="Q56" s="5"/>
      <c r="R56" s="38" t="s">
        <v>54</v>
      </c>
      <c r="S56" s="134">
        <f>F56*(I56*K56-M56*O56)/10^6</f>
        <v>-2.0785600277969527</v>
      </c>
      <c r="T56" s="134"/>
      <c r="U56" s="56" t="s">
        <v>93</v>
      </c>
    </row>
    <row r="57" spans="1:21" ht="11.25" customHeight="1">
      <c r="A57" s="3">
        <v>55</v>
      </c>
      <c r="B57" s="41"/>
      <c r="C57" s="19"/>
      <c r="D57" s="7" t="s">
        <v>106</v>
      </c>
      <c r="E57" s="7" t="s">
        <v>54</v>
      </c>
      <c r="F57" s="120">
        <f>-F26</f>
        <v>-900</v>
      </c>
      <c r="G57" s="120"/>
      <c r="H57" s="32" t="s">
        <v>100</v>
      </c>
      <c r="I57" s="48">
        <f>Q39</f>
        <v>12.0384</v>
      </c>
      <c r="J57" s="32" t="s">
        <v>101</v>
      </c>
      <c r="K57" s="48">
        <f>tempconv(Q12,T12,"℃")</f>
        <v>90</v>
      </c>
      <c r="L57" s="32" t="s">
        <v>102</v>
      </c>
      <c r="M57" s="48">
        <f>Q40</f>
        <v>11.591279999999998</v>
      </c>
      <c r="N57" s="32" t="s">
        <v>101</v>
      </c>
      <c r="O57" s="48">
        <f>tempconv(G14,J14,"℃")</f>
        <v>21</v>
      </c>
      <c r="P57" s="50" t="s">
        <v>103</v>
      </c>
      <c r="Q57" s="7"/>
      <c r="R57" s="32" t="s">
        <v>54</v>
      </c>
      <c r="S57" s="121">
        <f>F57*(I57*K57-M57*O57)/10^6</f>
        <v>-0.7560352079999999</v>
      </c>
      <c r="T57" s="121"/>
      <c r="U57" s="49" t="s">
        <v>93</v>
      </c>
    </row>
    <row r="58" spans="1:21" ht="11.25" customHeight="1">
      <c r="A58" s="3">
        <v>56</v>
      </c>
      <c r="B58" s="41" t="s">
        <v>98</v>
      </c>
      <c r="C58" s="45" t="str">
        <f>E22</f>
        <v>N5</v>
      </c>
      <c r="D58" s="8" t="s">
        <v>99</v>
      </c>
      <c r="E58" s="8" t="s">
        <v>54</v>
      </c>
      <c r="F58" s="64" t="s">
        <v>105</v>
      </c>
      <c r="G58" s="64" t="s">
        <v>107</v>
      </c>
      <c r="H58" s="64" t="s">
        <v>106</v>
      </c>
      <c r="I58" s="8"/>
      <c r="J58" s="8"/>
      <c r="K58" s="8"/>
      <c r="L58" s="8"/>
      <c r="M58" s="8"/>
      <c r="N58" s="8"/>
      <c r="O58" s="8"/>
      <c r="P58" s="8"/>
      <c r="Q58" s="8"/>
      <c r="R58" s="64" t="s">
        <v>54</v>
      </c>
      <c r="S58" s="127">
        <f>S56+S57</f>
        <v>-2.834595235796953</v>
      </c>
      <c r="T58" s="127"/>
      <c r="U58" s="67" t="s">
        <v>93</v>
      </c>
    </row>
    <row r="59" spans="1:21" ht="11.25" customHeight="1">
      <c r="A59" s="3">
        <v>57</v>
      </c>
      <c r="B59" s="41"/>
      <c r="C59" s="19"/>
      <c r="D59" s="11" t="s">
        <v>518</v>
      </c>
      <c r="E59" s="11" t="s">
        <v>54</v>
      </c>
      <c r="F59" s="131">
        <f>C25/2</f>
        <v>1117</v>
      </c>
      <c r="G59" s="131"/>
      <c r="H59" s="36" t="s">
        <v>100</v>
      </c>
      <c r="I59" s="57">
        <f>I55</f>
        <v>11.876399999999999</v>
      </c>
      <c r="J59" s="36" t="s">
        <v>101</v>
      </c>
      <c r="K59" s="57">
        <f>K55</f>
        <v>65</v>
      </c>
      <c r="L59" s="36" t="s">
        <v>102</v>
      </c>
      <c r="M59" s="57">
        <f>M56</f>
        <v>11.591279999999998</v>
      </c>
      <c r="N59" s="36" t="s">
        <v>101</v>
      </c>
      <c r="O59" s="57">
        <f>O56</f>
        <v>21</v>
      </c>
      <c r="P59" s="58" t="s">
        <v>103</v>
      </c>
      <c r="Q59" s="11"/>
      <c r="R59" s="36" t="s">
        <v>54</v>
      </c>
      <c r="S59" s="135">
        <f>F59*(I59*K59-M59*O59)/10^6</f>
        <v>0.5903893670399999</v>
      </c>
      <c r="T59" s="135"/>
      <c r="U59" s="59" t="s">
        <v>93</v>
      </c>
    </row>
    <row r="60" spans="1:21" ht="11.25" customHeight="1">
      <c r="A60" s="3">
        <v>58</v>
      </c>
      <c r="B60" s="41"/>
      <c r="C60" s="19"/>
      <c r="D60" s="7" t="s">
        <v>519</v>
      </c>
      <c r="E60" s="7" t="s">
        <v>54</v>
      </c>
      <c r="F60" s="120">
        <f>C25/2+D23</f>
        <v>1367</v>
      </c>
      <c r="G60" s="120"/>
      <c r="H60" s="32" t="s">
        <v>100</v>
      </c>
      <c r="I60" s="48">
        <f>I57</f>
        <v>12.0384</v>
      </c>
      <c r="J60" s="32" t="s">
        <v>101</v>
      </c>
      <c r="K60" s="48">
        <f>K57</f>
        <v>90</v>
      </c>
      <c r="L60" s="32" t="s">
        <v>102</v>
      </c>
      <c r="M60" s="48">
        <f>M57</f>
        <v>11.591279999999998</v>
      </c>
      <c r="N60" s="32" t="s">
        <v>101</v>
      </c>
      <c r="O60" s="48">
        <f>O57</f>
        <v>21</v>
      </c>
      <c r="P60" s="50" t="s">
        <v>103</v>
      </c>
      <c r="Q60" s="7"/>
      <c r="R60" s="32" t="s">
        <v>54</v>
      </c>
      <c r="S60" s="121">
        <f>F60*(I60*K60-M60*O60)/10^6</f>
        <v>1.1483334770399998</v>
      </c>
      <c r="T60" s="121"/>
      <c r="U60" s="49" t="s">
        <v>93</v>
      </c>
    </row>
    <row r="61" spans="1:21" ht="11.25" customHeight="1">
      <c r="A61" s="3">
        <v>59</v>
      </c>
      <c r="B61" s="43"/>
      <c r="C61" s="23"/>
      <c r="D61" s="17" t="s">
        <v>104</v>
      </c>
      <c r="E61" s="17" t="s">
        <v>54</v>
      </c>
      <c r="F61" s="60" t="str">
        <f>D59</f>
        <v>Δzci</v>
      </c>
      <c r="G61" s="60" t="s">
        <v>107</v>
      </c>
      <c r="H61" s="60" t="str">
        <f>D60</f>
        <v>Δzco</v>
      </c>
      <c r="I61" s="17"/>
      <c r="J61" s="17"/>
      <c r="K61" s="17"/>
      <c r="L61" s="17"/>
      <c r="M61" s="17"/>
      <c r="N61" s="17"/>
      <c r="O61" s="17"/>
      <c r="P61" s="17"/>
      <c r="Q61" s="17"/>
      <c r="R61" s="60" t="s">
        <v>54</v>
      </c>
      <c r="S61" s="122">
        <f>S59+S60</f>
        <v>1.7387228440799998</v>
      </c>
      <c r="T61" s="122"/>
      <c r="U61" s="63" t="s">
        <v>93</v>
      </c>
    </row>
    <row r="62" spans="1:21" ht="11.25" customHeight="1">
      <c r="A62" s="3">
        <v>60</v>
      </c>
      <c r="B62" s="14" t="s">
        <v>108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5"/>
    </row>
    <row r="63" spans="1:21" ht="11.25" customHeight="1">
      <c r="A63" s="16">
        <v>61</v>
      </c>
      <c r="B63" s="104" t="s">
        <v>109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</row>
    <row r="64" spans="1:21" ht="11.25" customHeight="1">
      <c r="A64" s="3">
        <v>62</v>
      </c>
      <c r="B64" s="104" t="s">
        <v>231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</row>
    <row r="65" spans="1:21" ht="11.25" customHeight="1">
      <c r="A65" s="3">
        <v>63</v>
      </c>
      <c r="B65" s="105" t="s">
        <v>232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</row>
    <row r="66" spans="1:21" ht="11.25" customHeight="1">
      <c r="A66" s="3"/>
      <c r="B66" s="22" t="s">
        <v>536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09" t="s">
        <v>537</v>
      </c>
    </row>
    <row r="67" ht="11.25" customHeight="1">
      <c r="A67" s="3"/>
    </row>
    <row r="68" ht="11.25" customHeight="1">
      <c r="A68" s="3"/>
    </row>
  </sheetData>
  <mergeCells count="88">
    <mergeCell ref="B1:U2"/>
    <mergeCell ref="R3:U3"/>
    <mergeCell ref="R4:U4"/>
    <mergeCell ref="R5:U5"/>
    <mergeCell ref="R7:U7"/>
    <mergeCell ref="B8:U8"/>
    <mergeCell ref="B15:U15"/>
    <mergeCell ref="G11:I11"/>
    <mergeCell ref="G12:I12"/>
    <mergeCell ref="Q11:S11"/>
    <mergeCell ref="Q12:S12"/>
    <mergeCell ref="G14:I14"/>
    <mergeCell ref="G10:I10"/>
    <mergeCell ref="Q10:S10"/>
    <mergeCell ref="X11:AA11"/>
    <mergeCell ref="AB11:AE11"/>
    <mergeCell ref="B9:K9"/>
    <mergeCell ref="L9:U9"/>
    <mergeCell ref="X9:AA9"/>
    <mergeCell ref="AB9:AE9"/>
    <mergeCell ref="X10:AA10"/>
    <mergeCell ref="AB10:AE10"/>
    <mergeCell ref="J24:L24"/>
    <mergeCell ref="J28:L28"/>
    <mergeCell ref="O25:O28"/>
    <mergeCell ref="B19:U19"/>
    <mergeCell ref="E22:F22"/>
    <mergeCell ref="P25:P28"/>
    <mergeCell ref="L22:M22"/>
    <mergeCell ref="R22:S22"/>
    <mergeCell ref="E31:F31"/>
    <mergeCell ref="G26:I26"/>
    <mergeCell ref="B36:U36"/>
    <mergeCell ref="Q32:R32"/>
    <mergeCell ref="B25:B28"/>
    <mergeCell ref="C25:C28"/>
    <mergeCell ref="H28:I28"/>
    <mergeCell ref="L31:M31"/>
    <mergeCell ref="L34:O34"/>
    <mergeCell ref="L38:M38"/>
    <mergeCell ref="L40:M40"/>
    <mergeCell ref="I37:M37"/>
    <mergeCell ref="S48:T48"/>
    <mergeCell ref="N37:R37"/>
    <mergeCell ref="Q38:R38"/>
    <mergeCell ref="Q39:R39"/>
    <mergeCell ref="Q40:R40"/>
    <mergeCell ref="S54:T54"/>
    <mergeCell ref="F55:G55"/>
    <mergeCell ref="S44:T44"/>
    <mergeCell ref="S61:T61"/>
    <mergeCell ref="F52:G52"/>
    <mergeCell ref="S52:T52"/>
    <mergeCell ref="F53:G53"/>
    <mergeCell ref="S53:T53"/>
    <mergeCell ref="S58:T58"/>
    <mergeCell ref="F57:G57"/>
    <mergeCell ref="S57:T57"/>
    <mergeCell ref="F56:G56"/>
    <mergeCell ref="S56:T56"/>
    <mergeCell ref="F59:G59"/>
    <mergeCell ref="S59:T59"/>
    <mergeCell ref="F60:G60"/>
    <mergeCell ref="S60:T60"/>
    <mergeCell ref="B48:B49"/>
    <mergeCell ref="C46:C47"/>
    <mergeCell ref="B50:B51"/>
    <mergeCell ref="C50:C51"/>
    <mergeCell ref="F50:G50"/>
    <mergeCell ref="S55:T55"/>
    <mergeCell ref="S50:T50"/>
    <mergeCell ref="F51:G51"/>
    <mergeCell ref="B38:G39"/>
    <mergeCell ref="F48:G48"/>
    <mergeCell ref="F44:G44"/>
    <mergeCell ref="B46:B47"/>
    <mergeCell ref="F46:G46"/>
    <mergeCell ref="B44:B45"/>
    <mergeCell ref="F45:G45"/>
    <mergeCell ref="C48:C49"/>
    <mergeCell ref="S51:T51"/>
    <mergeCell ref="C44:C45"/>
    <mergeCell ref="F49:G49"/>
    <mergeCell ref="S49:T49"/>
    <mergeCell ref="S45:T45"/>
    <mergeCell ref="S46:T46"/>
    <mergeCell ref="S47:T47"/>
    <mergeCell ref="F47:G47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68"/>
  <sheetViews>
    <sheetView zoomScaleSheetLayoutView="100" workbookViewId="0" topLeftCell="A1">
      <selection activeCell="O7" sqref="O7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65" t="s">
        <v>223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112</v>
      </c>
      <c r="C3" s="5"/>
      <c r="D3" s="5"/>
      <c r="E3" s="108" t="s">
        <v>113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114</v>
      </c>
      <c r="Q3" s="11"/>
      <c r="R3" s="171" t="s">
        <v>115</v>
      </c>
      <c r="S3" s="171"/>
      <c r="T3" s="171"/>
      <c r="U3" s="172"/>
    </row>
    <row r="4" spans="1:24" ht="11.25" customHeight="1">
      <c r="A4" s="3">
        <v>2</v>
      </c>
      <c r="B4" s="6" t="s">
        <v>116</v>
      </c>
      <c r="C4" s="7"/>
      <c r="D4" s="7"/>
      <c r="E4" s="20" t="s">
        <v>117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118</v>
      </c>
      <c r="Q4" s="7"/>
      <c r="R4" s="153" t="s">
        <v>119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120</v>
      </c>
      <c r="C5" s="7"/>
      <c r="D5" s="7"/>
      <c r="E5" s="20" t="s">
        <v>121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122</v>
      </c>
      <c r="Q5" s="7"/>
      <c r="R5" s="164" t="s">
        <v>535</v>
      </c>
      <c r="S5" s="164"/>
      <c r="T5" s="164"/>
      <c r="U5" s="173"/>
      <c r="X5" s="2" t="s">
        <v>224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123</v>
      </c>
      <c r="Q6" s="23"/>
      <c r="R6" s="24">
        <v>0</v>
      </c>
      <c r="S6" s="25"/>
      <c r="T6" s="25"/>
      <c r="U6" s="26"/>
      <c r="X6" s="111">
        <v>5</v>
      </c>
      <c r="Y6" s="2" t="s">
        <v>18</v>
      </c>
      <c r="AA6" s="3">
        <f>tempconv(fprop(X10,X11,0,J12,X6,Y6,"Yes",1,0,0),"℃",J12)</f>
        <v>158.28596762908052</v>
      </c>
      <c r="AB6" s="2" t="s">
        <v>225</v>
      </c>
    </row>
    <row r="7" spans="1:28" ht="11.25" customHeight="1">
      <c r="A7" s="3">
        <v>5</v>
      </c>
      <c r="B7" s="10" t="s">
        <v>124</v>
      </c>
      <c r="C7" s="11"/>
      <c r="D7" s="11"/>
      <c r="E7" s="39" t="s">
        <v>125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126</v>
      </c>
      <c r="Q7" s="11"/>
      <c r="R7" s="161" t="s">
        <v>127</v>
      </c>
      <c r="S7" s="161"/>
      <c r="T7" s="161"/>
      <c r="U7" s="162"/>
      <c r="X7" s="3">
        <f>IF(X5&lt;&gt;"S/H",AA6,AA7)</f>
        <v>158.28596762908052</v>
      </c>
      <c r="AA7" s="111">
        <v>250</v>
      </c>
      <c r="AB7" s="2" t="s">
        <v>226</v>
      </c>
    </row>
    <row r="8" spans="1:21" ht="11.25" customHeight="1">
      <c r="A8" s="3">
        <v>6</v>
      </c>
      <c r="B8" s="145" t="s">
        <v>128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31" ht="11.25" customHeight="1">
      <c r="A9" s="3">
        <v>7</v>
      </c>
      <c r="B9" s="140" t="s">
        <v>129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130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129</v>
      </c>
      <c r="Y9" s="157"/>
      <c r="Z9" s="157"/>
      <c r="AA9" s="157"/>
      <c r="AB9" s="156" t="s">
        <v>130</v>
      </c>
      <c r="AC9" s="157"/>
      <c r="AD9" s="157"/>
      <c r="AE9" s="157"/>
    </row>
    <row r="10" spans="1:31" ht="11.25" customHeight="1">
      <c r="A10" s="3">
        <v>8</v>
      </c>
      <c r="B10" s="10" t="s">
        <v>131</v>
      </c>
      <c r="C10" s="11"/>
      <c r="D10" s="11"/>
      <c r="E10" s="11"/>
      <c r="F10" s="11"/>
      <c r="G10" s="161" t="s">
        <v>132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221</v>
      </c>
      <c r="R10" s="161"/>
      <c r="S10" s="161"/>
      <c r="T10" s="11"/>
      <c r="U10" s="15"/>
      <c r="V10" s="10" t="s">
        <v>133</v>
      </c>
      <c r="W10" s="15"/>
      <c r="X10" s="158" t="s">
        <v>20</v>
      </c>
      <c r="Y10" s="159"/>
      <c r="Z10" s="159"/>
      <c r="AA10" s="160"/>
      <c r="AB10" s="158"/>
      <c r="AC10" s="159"/>
      <c r="AD10" s="159"/>
      <c r="AE10" s="159"/>
    </row>
    <row r="11" spans="1:31" ht="11.25" customHeight="1">
      <c r="A11" s="3">
        <v>9</v>
      </c>
      <c r="B11" s="6" t="s">
        <v>228</v>
      </c>
      <c r="C11" s="7"/>
      <c r="D11" s="7"/>
      <c r="E11" s="7"/>
      <c r="F11" s="7"/>
      <c r="G11" s="153">
        <f>X6</f>
        <v>5</v>
      </c>
      <c r="H11" s="153"/>
      <c r="I11" s="153"/>
      <c r="J11" s="7" t="str">
        <f>Y6</f>
        <v>kg/cm2.g</v>
      </c>
      <c r="K11" s="7"/>
      <c r="L11" s="6" t="s">
        <v>134</v>
      </c>
      <c r="M11" s="7"/>
      <c r="N11" s="7"/>
      <c r="O11" s="28" t="s">
        <v>135</v>
      </c>
      <c r="P11" s="7" t="s">
        <v>136</v>
      </c>
      <c r="Q11" s="164">
        <v>65</v>
      </c>
      <c r="R11" s="164"/>
      <c r="S11" s="164"/>
      <c r="T11" s="7" t="str">
        <f>J12</f>
        <v>℃</v>
      </c>
      <c r="U11" s="1"/>
      <c r="V11" s="6" t="s">
        <v>137</v>
      </c>
      <c r="W11" s="1"/>
      <c r="X11" s="152" t="s">
        <v>21</v>
      </c>
      <c r="Y11" s="153"/>
      <c r="Z11" s="153"/>
      <c r="AA11" s="154"/>
      <c r="AB11" s="152"/>
      <c r="AC11" s="153"/>
      <c r="AD11" s="153"/>
      <c r="AE11" s="153"/>
    </row>
    <row r="12" spans="1:21" ht="11.25" customHeight="1">
      <c r="A12" s="3">
        <v>10</v>
      </c>
      <c r="B12" s="6" t="s">
        <v>229</v>
      </c>
      <c r="C12" s="7"/>
      <c r="D12" s="7"/>
      <c r="E12" s="28" t="s">
        <v>227</v>
      </c>
      <c r="F12" s="7" t="s">
        <v>136</v>
      </c>
      <c r="G12" s="163">
        <f>X7</f>
        <v>158.28596762908052</v>
      </c>
      <c r="H12" s="163"/>
      <c r="I12" s="163"/>
      <c r="J12" s="7" t="s">
        <v>19</v>
      </c>
      <c r="K12" s="7"/>
      <c r="L12" s="6" t="s">
        <v>139</v>
      </c>
      <c r="M12" s="7"/>
      <c r="N12" s="7"/>
      <c r="O12" s="28" t="s">
        <v>138</v>
      </c>
      <c r="P12" s="7" t="s">
        <v>136</v>
      </c>
      <c r="Q12" s="164">
        <v>105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140</v>
      </c>
      <c r="C13" s="7"/>
      <c r="D13" s="7"/>
      <c r="E13" s="7"/>
      <c r="F13" s="7"/>
      <c r="G13" s="2" t="s">
        <v>24</v>
      </c>
      <c r="H13" s="7"/>
      <c r="I13" s="7"/>
      <c r="J13" s="7"/>
      <c r="K13" s="7"/>
      <c r="L13" s="6" t="s">
        <v>141</v>
      </c>
      <c r="M13" s="7"/>
      <c r="N13" s="7"/>
      <c r="O13" s="7"/>
      <c r="P13" s="7"/>
      <c r="Q13" s="2" t="s">
        <v>24</v>
      </c>
      <c r="R13" s="7"/>
      <c r="S13" s="7"/>
      <c r="T13" s="7"/>
      <c r="U13" s="1"/>
      <c r="V13" s="2" t="s">
        <v>142</v>
      </c>
      <c r="X13" s="2" t="s">
        <v>22</v>
      </c>
    </row>
    <row r="14" spans="1:28" ht="11.25" customHeight="1">
      <c r="A14" s="3">
        <v>12</v>
      </c>
      <c r="B14" s="10" t="s">
        <v>143</v>
      </c>
      <c r="C14" s="11"/>
      <c r="D14" s="11"/>
      <c r="E14" s="30" t="s">
        <v>144</v>
      </c>
      <c r="F14" s="11" t="s">
        <v>136</v>
      </c>
      <c r="G14" s="161">
        <v>10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AB14" s="2" t="s">
        <v>23</v>
      </c>
    </row>
    <row r="15" spans="1:21" ht="11.25" customHeight="1">
      <c r="A15" s="3">
        <v>13</v>
      </c>
      <c r="B15" s="145" t="s">
        <v>145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146</v>
      </c>
      <c r="C16" s="5" t="s">
        <v>147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148</v>
      </c>
      <c r="C17" s="7" t="s">
        <v>149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150</v>
      </c>
      <c r="C18" s="7" t="s">
        <v>151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152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40"/>
      <c r="D20" s="85" t="s">
        <v>153</v>
      </c>
      <c r="E20" s="87">
        <f>S58</f>
        <v>-2.4972321928477146</v>
      </c>
      <c r="F20" s="87">
        <f>S61</f>
        <v>1.8275916600000002</v>
      </c>
      <c r="G20" s="40" t="s">
        <v>154</v>
      </c>
      <c r="H20" s="40"/>
      <c r="I20" s="40"/>
      <c r="J20" s="40"/>
      <c r="K20" s="85" t="s">
        <v>153</v>
      </c>
      <c r="L20" s="87">
        <f>S46</f>
        <v>2.6044903310964447</v>
      </c>
      <c r="M20" s="87">
        <f>S47</f>
        <v>3.951383902320606</v>
      </c>
      <c r="N20" s="40" t="s">
        <v>154</v>
      </c>
      <c r="O20" s="40"/>
      <c r="P20" s="40"/>
      <c r="Q20" s="85" t="str">
        <f>IF(R22="***","***","Δ (")</f>
        <v>Δ (</v>
      </c>
      <c r="R20" s="87">
        <f>IF(R22="***","***",S48)</f>
        <v>6.511225827741113</v>
      </c>
      <c r="S20" s="87">
        <f>IF(R22="***","***",S49)</f>
        <v>3.951383902320606</v>
      </c>
      <c r="T20" s="40" t="str">
        <f>IF(R22="***","***",")")</f>
        <v>)</v>
      </c>
      <c r="U20" s="34"/>
    </row>
    <row r="21" spans="1:21" ht="11.25" customHeight="1">
      <c r="A21" s="3">
        <v>19</v>
      </c>
      <c r="B21" s="41"/>
      <c r="C21" s="19"/>
      <c r="D21" s="31" t="str">
        <f>E22&amp;" ("</f>
        <v>N5 (</v>
      </c>
      <c r="E21" s="47">
        <f>-(F26+G26)</f>
        <v>-1610</v>
      </c>
      <c r="F21" s="47">
        <f>P25/2+C25/2+D23</f>
        <v>2027</v>
      </c>
      <c r="G21" s="19" t="s">
        <v>154</v>
      </c>
      <c r="H21" s="19"/>
      <c r="I21" s="19"/>
      <c r="J21" s="19"/>
      <c r="K21" s="31" t="str">
        <f>L22&amp;" ("</f>
        <v>N1 (</v>
      </c>
      <c r="L21" s="47">
        <f>J24</f>
        <v>1400</v>
      </c>
      <c r="M21" s="47">
        <f>P25+N23</f>
        <v>2124</v>
      </c>
      <c r="N21" s="19" t="s">
        <v>154</v>
      </c>
      <c r="O21" s="19"/>
      <c r="P21" s="19"/>
      <c r="Q21" s="31" t="str">
        <f>IF(R22="***","***",R22&amp;" (")</f>
        <v>N2 (</v>
      </c>
      <c r="R21" s="47">
        <f>IF(R22="***","***",L34+R24)</f>
        <v>3500</v>
      </c>
      <c r="S21" s="47">
        <f>IF(R22="***","***",P25+T23)</f>
        <v>2124</v>
      </c>
      <c r="T21" s="19" t="str">
        <f>IF(R22="***","***",")")</f>
        <v>)</v>
      </c>
      <c r="U21" s="42"/>
    </row>
    <row r="22" spans="1:21" ht="11.25" customHeight="1">
      <c r="A22" s="3">
        <v>20</v>
      </c>
      <c r="B22" s="41"/>
      <c r="C22" s="19"/>
      <c r="D22" s="19"/>
      <c r="E22" s="143" t="s">
        <v>222</v>
      </c>
      <c r="F22" s="143"/>
      <c r="G22" s="19"/>
      <c r="H22" s="19"/>
      <c r="I22" s="19"/>
      <c r="J22" s="19"/>
      <c r="K22" s="19"/>
      <c r="L22" s="143" t="s">
        <v>155</v>
      </c>
      <c r="M22" s="143"/>
      <c r="N22" s="19"/>
      <c r="O22" s="19"/>
      <c r="P22" s="19"/>
      <c r="Q22" s="19"/>
      <c r="R22" s="143" t="s">
        <v>230</v>
      </c>
      <c r="S22" s="143"/>
      <c r="T22" s="19"/>
      <c r="U22" s="42"/>
    </row>
    <row r="23" spans="1:21" ht="11.25" customHeight="1">
      <c r="A23" s="3">
        <v>21</v>
      </c>
      <c r="B23" s="106">
        <v>15</v>
      </c>
      <c r="C23" s="19" t="s">
        <v>156</v>
      </c>
      <c r="D23" s="82">
        <v>300</v>
      </c>
      <c r="E23" s="19"/>
      <c r="F23" s="19"/>
      <c r="G23" s="19"/>
      <c r="H23" s="19"/>
      <c r="I23" s="19"/>
      <c r="J23" s="19"/>
      <c r="K23" s="19"/>
      <c r="L23" s="19"/>
      <c r="M23" s="19"/>
      <c r="N23" s="82">
        <v>300</v>
      </c>
      <c r="O23" s="82">
        <v>12</v>
      </c>
      <c r="P23" s="46" t="s">
        <v>156</v>
      </c>
      <c r="Q23" s="19"/>
      <c r="R23" s="19"/>
      <c r="S23" s="19"/>
      <c r="T23" s="82">
        <v>300</v>
      </c>
      <c r="U23" s="42"/>
    </row>
    <row r="24" spans="1:21" ht="11.25" customHeight="1">
      <c r="A24" s="3">
        <v>22</v>
      </c>
      <c r="B24" s="80" t="s">
        <v>157</v>
      </c>
      <c r="C24" s="81" t="s">
        <v>158</v>
      </c>
      <c r="D24" s="19"/>
      <c r="E24" s="19"/>
      <c r="F24" s="19"/>
      <c r="G24" s="19"/>
      <c r="H24" s="19"/>
      <c r="I24" s="19"/>
      <c r="J24" s="144">
        <v>1400</v>
      </c>
      <c r="K24" s="144"/>
      <c r="L24" s="144"/>
      <c r="M24" s="19"/>
      <c r="N24" s="19"/>
      <c r="O24" s="81" t="s">
        <v>157</v>
      </c>
      <c r="P24" s="81" t="s">
        <v>158</v>
      </c>
      <c r="Q24" s="19"/>
      <c r="R24" s="82">
        <v>1000</v>
      </c>
      <c r="S24" s="19"/>
      <c r="T24" s="19"/>
      <c r="U24" s="42"/>
    </row>
    <row r="25" spans="1:21" ht="11.25" customHeight="1">
      <c r="A25" s="3">
        <v>23</v>
      </c>
      <c r="B25" s="148">
        <v>1600</v>
      </c>
      <c r="C25" s="149">
        <f>B25+2*B23</f>
        <v>1630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1">
        <v>1800</v>
      </c>
      <c r="P25" s="149">
        <f>O25+2*O23</f>
        <v>1824</v>
      </c>
      <c r="Q25" s="19"/>
      <c r="R25" s="19"/>
      <c r="S25" s="19"/>
      <c r="T25" s="19"/>
      <c r="U25" s="42"/>
    </row>
    <row r="26" spans="1:21" ht="11.25" customHeight="1">
      <c r="A26" s="3">
        <v>24</v>
      </c>
      <c r="B26" s="148"/>
      <c r="C26" s="149"/>
      <c r="D26" s="19"/>
      <c r="E26" s="19"/>
      <c r="F26" s="82">
        <v>710</v>
      </c>
      <c r="G26" s="144">
        <v>900</v>
      </c>
      <c r="H26" s="144"/>
      <c r="I26" s="144"/>
      <c r="J26" s="19"/>
      <c r="K26" s="19"/>
      <c r="L26" s="19"/>
      <c r="M26" s="19"/>
      <c r="N26" s="19"/>
      <c r="O26" s="151"/>
      <c r="P26" s="149"/>
      <c r="Q26" s="19"/>
      <c r="R26" s="19"/>
      <c r="S26" s="19"/>
      <c r="T26" s="19"/>
      <c r="U26" s="42"/>
    </row>
    <row r="27" spans="1:21" ht="11.25" customHeight="1">
      <c r="A27" s="3">
        <v>25</v>
      </c>
      <c r="B27" s="148"/>
      <c r="C27" s="14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1"/>
      <c r="P27" s="149"/>
      <c r="Q27" s="19"/>
      <c r="R27" s="19"/>
      <c r="S27" s="19"/>
      <c r="T27" s="19"/>
      <c r="U27" s="42"/>
    </row>
    <row r="28" spans="1:21" ht="11.25" customHeight="1">
      <c r="A28" s="3">
        <v>26</v>
      </c>
      <c r="B28" s="148"/>
      <c r="C28" s="149"/>
      <c r="D28" s="19"/>
      <c r="E28" s="19"/>
      <c r="F28" s="19"/>
      <c r="G28" s="19"/>
      <c r="H28" s="143">
        <v>530</v>
      </c>
      <c r="I28" s="143"/>
      <c r="J28" s="174"/>
      <c r="K28" s="174"/>
      <c r="L28" s="174"/>
      <c r="M28" s="19"/>
      <c r="N28" s="19"/>
      <c r="O28" s="151"/>
      <c r="P28" s="149"/>
      <c r="Q28" s="19"/>
      <c r="R28" s="19"/>
      <c r="S28" s="19"/>
      <c r="T28" s="19"/>
      <c r="U28" s="42"/>
    </row>
    <row r="29" spans="1:21" ht="11.25" customHeight="1">
      <c r="A29" s="3">
        <v>27</v>
      </c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C30" s="19"/>
      <c r="D30" s="82">
        <v>300</v>
      </c>
      <c r="E30" s="19"/>
      <c r="F30" s="19"/>
      <c r="G30" s="110">
        <v>300</v>
      </c>
      <c r="H30" s="19"/>
      <c r="I30" s="19"/>
      <c r="J30" s="19"/>
      <c r="K30" s="19"/>
      <c r="L30" s="19"/>
      <c r="M30" s="19"/>
      <c r="N30" s="51"/>
      <c r="O30" s="19"/>
      <c r="P30" s="19"/>
      <c r="Q30" s="19"/>
      <c r="R30" s="19"/>
      <c r="S30" s="19"/>
      <c r="T30" s="19"/>
      <c r="U30" s="42"/>
    </row>
    <row r="31" spans="1:21" ht="11.25" customHeight="1">
      <c r="A31" s="3">
        <v>29</v>
      </c>
      <c r="B31" s="41"/>
      <c r="C31" s="19"/>
      <c r="D31" s="19"/>
      <c r="E31" s="143" t="s">
        <v>25</v>
      </c>
      <c r="F31" s="143"/>
      <c r="G31" s="19"/>
      <c r="H31" s="22" t="s">
        <v>26</v>
      </c>
      <c r="I31" s="19"/>
      <c r="J31" s="19"/>
      <c r="K31" s="19"/>
      <c r="L31" s="143"/>
      <c r="M31" s="143"/>
      <c r="N31" s="19"/>
      <c r="O31" s="19"/>
      <c r="P31" s="19"/>
      <c r="Q31" s="19"/>
      <c r="R31" s="19"/>
      <c r="S31" s="19"/>
      <c r="T31" s="19"/>
      <c r="U31" s="42"/>
    </row>
    <row r="32" spans="1:21" ht="11.25" customHeight="1">
      <c r="A32" s="3">
        <v>30</v>
      </c>
      <c r="B32" s="41"/>
      <c r="C32" s="19"/>
      <c r="D32" s="31" t="str">
        <f>E31&amp;" ("</f>
        <v>N4 (</v>
      </c>
      <c r="E32" s="47">
        <f>E21</f>
        <v>-1610</v>
      </c>
      <c r="F32" s="47">
        <f>P25/2-(C25/2+D30)</f>
        <v>-203</v>
      </c>
      <c r="G32" s="31" t="str">
        <f>")  "&amp;H31&amp;" ("</f>
        <v>)  N3 (</v>
      </c>
      <c r="H32" s="47">
        <f>-H28</f>
        <v>-530</v>
      </c>
      <c r="I32" s="47">
        <f>-G30</f>
        <v>-300</v>
      </c>
      <c r="J32" s="19" t="s">
        <v>154</v>
      </c>
      <c r="K32" s="31"/>
      <c r="L32" s="47"/>
      <c r="M32" s="47"/>
      <c r="N32" s="19"/>
      <c r="O32" s="19"/>
      <c r="P32" s="19"/>
      <c r="Q32" s="143" t="s">
        <v>159</v>
      </c>
      <c r="R32" s="143"/>
      <c r="S32" s="19"/>
      <c r="T32" s="19"/>
      <c r="U32" s="42"/>
    </row>
    <row r="33" spans="1:21" ht="11.25" customHeight="1">
      <c r="A33" s="3">
        <v>31</v>
      </c>
      <c r="B33" s="84"/>
      <c r="C33" s="19"/>
      <c r="D33" s="31" t="s">
        <v>153</v>
      </c>
      <c r="E33" s="86">
        <f>S54</f>
        <v>-2.1406190728477146</v>
      </c>
      <c r="F33" s="86">
        <f>S55</f>
        <v>-0.19702979999999998</v>
      </c>
      <c r="G33" s="19" t="s">
        <v>160</v>
      </c>
      <c r="H33" s="86">
        <f>S50</f>
        <v>-0.9859856253436542</v>
      </c>
      <c r="I33" s="86">
        <f>S51</f>
        <v>-0.5581050709492381</v>
      </c>
      <c r="J33" s="19" t="s">
        <v>154</v>
      </c>
      <c r="K33" s="19"/>
      <c r="L33" s="19"/>
      <c r="M33" s="19"/>
      <c r="N33" s="19"/>
      <c r="O33" s="19"/>
      <c r="P33" s="31" t="str">
        <f>Q32&amp;" ("</f>
        <v>SS (</v>
      </c>
      <c r="Q33" s="53">
        <f>L34</f>
        <v>2500</v>
      </c>
      <c r="R33" s="107">
        <v>0</v>
      </c>
      <c r="S33" s="19" t="s">
        <v>154</v>
      </c>
      <c r="T33" s="19"/>
      <c r="U33" s="42"/>
    </row>
    <row r="34" spans="1:21" ht="11.25" customHeight="1">
      <c r="A34" s="3">
        <v>32</v>
      </c>
      <c r="B34" s="41"/>
      <c r="C34" s="19"/>
      <c r="D34" s="19"/>
      <c r="E34" s="19"/>
      <c r="F34" s="19"/>
      <c r="G34" s="19"/>
      <c r="H34" s="19"/>
      <c r="I34" s="19"/>
      <c r="J34" s="19"/>
      <c r="K34" s="19"/>
      <c r="L34" s="144">
        <v>2500</v>
      </c>
      <c r="M34" s="144"/>
      <c r="N34" s="144"/>
      <c r="O34" s="144"/>
      <c r="P34" s="31" t="s">
        <v>153</v>
      </c>
      <c r="Q34" s="86">
        <f>S44</f>
        <v>4.6508755912436515</v>
      </c>
      <c r="R34" s="86">
        <f>S45</f>
        <v>0</v>
      </c>
      <c r="S34" s="19" t="s">
        <v>154</v>
      </c>
      <c r="T34" s="19"/>
      <c r="U34" s="42"/>
    </row>
    <row r="35" spans="1:21" ht="11.25" customHeight="1">
      <c r="A35" s="3">
        <v>33</v>
      </c>
      <c r="B35" s="4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4"/>
    </row>
    <row r="36" spans="1:21" ht="11.25" customHeight="1">
      <c r="A36" s="3">
        <v>34</v>
      </c>
      <c r="B36" s="145" t="s">
        <v>161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ht="11.25" customHeight="1">
      <c r="A37" s="3">
        <v>35</v>
      </c>
      <c r="B37" s="33"/>
      <c r="C37" s="40"/>
      <c r="D37" s="40"/>
      <c r="E37" s="40"/>
      <c r="F37" s="40"/>
      <c r="G37" s="40"/>
      <c r="H37" s="11"/>
      <c r="I37" s="139" t="str">
        <f>B13</f>
        <v> Shell Material</v>
      </c>
      <c r="J37" s="139"/>
      <c r="K37" s="139"/>
      <c r="L37" s="139"/>
      <c r="M37" s="139"/>
      <c r="N37" s="140" t="str">
        <f>L13</f>
        <v> Channel Material</v>
      </c>
      <c r="O37" s="139"/>
      <c r="P37" s="139"/>
      <c r="Q37" s="139"/>
      <c r="R37" s="139"/>
      <c r="S37" s="11"/>
      <c r="T37" s="11"/>
      <c r="U37" s="15"/>
    </row>
    <row r="38" spans="1:21" ht="11.25" customHeight="1">
      <c r="A38" s="3">
        <v>36</v>
      </c>
      <c r="B38" s="129" t="s">
        <v>220</v>
      </c>
      <c r="C38" s="130"/>
      <c r="D38" s="130"/>
      <c r="E38" s="130"/>
      <c r="F38" s="130"/>
      <c r="G38" s="130"/>
      <c r="H38" s="28" t="s">
        <v>162</v>
      </c>
      <c r="I38" s="36" t="s">
        <v>163</v>
      </c>
      <c r="J38" s="11" t="s">
        <v>164</v>
      </c>
      <c r="K38" s="11"/>
      <c r="L38" s="137">
        <f>alphaTEMA(mindex(G13,40),G12,J12)</f>
        <v>12.48089307023644</v>
      </c>
      <c r="M38" s="137"/>
      <c r="N38" s="35" t="s">
        <v>163</v>
      </c>
      <c r="O38" s="11" t="s">
        <v>165</v>
      </c>
      <c r="P38" s="11"/>
      <c r="Q38" s="137">
        <f>alphaTEMA(mindex(Q13,40),Q11,T11)</f>
        <v>11.876399999999999</v>
      </c>
      <c r="R38" s="137"/>
      <c r="S38" s="7" t="s">
        <v>166</v>
      </c>
      <c r="T38" s="7"/>
      <c r="U38" s="1"/>
    </row>
    <row r="39" spans="1:21" ht="11.25" customHeight="1">
      <c r="A39" s="3">
        <v>37</v>
      </c>
      <c r="B39" s="129"/>
      <c r="C39" s="130"/>
      <c r="D39" s="130"/>
      <c r="E39" s="130"/>
      <c r="F39" s="130"/>
      <c r="G39" s="130"/>
      <c r="H39" s="7"/>
      <c r="I39" s="7"/>
      <c r="J39" s="7"/>
      <c r="K39" s="7"/>
      <c r="L39" s="7"/>
      <c r="M39" s="7"/>
      <c r="N39" s="37" t="s">
        <v>163</v>
      </c>
      <c r="O39" s="7" t="s">
        <v>167</v>
      </c>
      <c r="P39" s="7"/>
      <c r="Q39" s="141">
        <f>alphaTEMA(mindex(Q13,40),Q12,T12)</f>
        <v>12.1356</v>
      </c>
      <c r="R39" s="141"/>
      <c r="S39" s="7" t="str">
        <f>S38</f>
        <v>mm / mm ℃ / 10^6</v>
      </c>
      <c r="T39" s="7"/>
      <c r="U39" s="1"/>
    </row>
    <row r="40" spans="1:21" ht="11.25" customHeight="1">
      <c r="A40" s="3">
        <v>38</v>
      </c>
      <c r="B40" s="43"/>
      <c r="C40" s="23"/>
      <c r="D40" s="23"/>
      <c r="E40" s="23"/>
      <c r="F40" s="23"/>
      <c r="G40" s="23"/>
      <c r="H40" s="29" t="s">
        <v>168</v>
      </c>
      <c r="I40" s="64" t="s">
        <v>163</v>
      </c>
      <c r="J40" s="8" t="s">
        <v>169</v>
      </c>
      <c r="K40" s="8"/>
      <c r="L40" s="138">
        <f>alphaTEMA(mindex(G13,40),G14,J14)</f>
        <v>11.519999999999998</v>
      </c>
      <c r="M40" s="138"/>
      <c r="N40" s="68" t="s">
        <v>163</v>
      </c>
      <c r="O40" s="17" t="str">
        <f>J40</f>
        <v>Ambient Temp.</v>
      </c>
      <c r="P40" s="17"/>
      <c r="Q40" s="142">
        <f>alphaTEMA(mindex(Q13,40),G14,J14)</f>
        <v>11.519999999999998</v>
      </c>
      <c r="R40" s="142"/>
      <c r="S40" s="8" t="str">
        <f>S38</f>
        <v>mm / mm ℃ / 10^6</v>
      </c>
      <c r="T40" s="8"/>
      <c r="U40" s="12"/>
    </row>
    <row r="41" spans="1:21" ht="11.25" customHeight="1">
      <c r="A41" s="3">
        <v>39</v>
      </c>
      <c r="B41" s="77" t="s">
        <v>170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</row>
    <row r="42" spans="1:21" ht="11.25" customHeight="1">
      <c r="A42" s="3">
        <v>40</v>
      </c>
      <c r="B42" s="41"/>
      <c r="C42" s="45" t="s">
        <v>171</v>
      </c>
      <c r="D42" s="19" t="s">
        <v>136</v>
      </c>
      <c r="E42" s="19" t="s">
        <v>172</v>
      </c>
      <c r="F42" s="19"/>
      <c r="G42" s="19"/>
      <c r="H42" s="19"/>
      <c r="I42" s="19"/>
      <c r="J42" s="19"/>
      <c r="K42" s="31" t="s">
        <v>173</v>
      </c>
      <c r="L42" s="45" t="s">
        <v>174</v>
      </c>
      <c r="M42" s="19" t="s">
        <v>175</v>
      </c>
      <c r="N42" s="19"/>
      <c r="O42" s="19" t="s">
        <v>176</v>
      </c>
      <c r="P42" s="78" t="s">
        <v>177</v>
      </c>
      <c r="Q42" s="19" t="s">
        <v>178</v>
      </c>
      <c r="R42" s="19"/>
      <c r="S42" s="19"/>
      <c r="T42" s="19"/>
      <c r="U42" s="79" t="s">
        <v>179</v>
      </c>
    </row>
    <row r="43" spans="1:21" ht="11.25" customHeight="1">
      <c r="A43" s="3">
        <v>41</v>
      </c>
      <c r="B43" s="43"/>
      <c r="C43" s="23"/>
      <c r="D43" s="23"/>
      <c r="E43" s="23"/>
      <c r="F43" s="23"/>
      <c r="G43" s="23"/>
      <c r="H43" s="23"/>
      <c r="I43" s="23"/>
      <c r="J43" s="23"/>
      <c r="K43" s="23"/>
      <c r="L43" s="102" t="s">
        <v>171</v>
      </c>
      <c r="M43" s="23" t="s">
        <v>180</v>
      </c>
      <c r="N43" s="23"/>
      <c r="O43" s="23" t="s">
        <v>176</v>
      </c>
      <c r="P43" s="23"/>
      <c r="Q43" s="23"/>
      <c r="R43" s="23"/>
      <c r="S43" s="23"/>
      <c r="T43" s="23"/>
      <c r="U43" s="44"/>
    </row>
    <row r="44" spans="1:21" ht="11.25" customHeight="1">
      <c r="A44" s="3">
        <v>42</v>
      </c>
      <c r="B44" s="132" t="s">
        <v>181</v>
      </c>
      <c r="C44" s="123" t="str">
        <f>Q32</f>
        <v>SS</v>
      </c>
      <c r="D44" s="11" t="s">
        <v>182</v>
      </c>
      <c r="E44" s="11" t="s">
        <v>136</v>
      </c>
      <c r="F44" s="131">
        <f>Q33</f>
        <v>2500</v>
      </c>
      <c r="G44" s="131"/>
      <c r="H44" s="36" t="s">
        <v>183</v>
      </c>
      <c r="I44" s="57">
        <f>L38</f>
        <v>12.48089307023644</v>
      </c>
      <c r="J44" s="36" t="s">
        <v>184</v>
      </c>
      <c r="K44" s="57">
        <f>tempconv(G12,J12,"℃")</f>
        <v>158.28596762908052</v>
      </c>
      <c r="L44" s="36" t="s">
        <v>185</v>
      </c>
      <c r="M44" s="57">
        <f>L40</f>
        <v>11.519999999999998</v>
      </c>
      <c r="N44" s="36" t="s">
        <v>184</v>
      </c>
      <c r="O44" s="57">
        <f>tempconv(G14,J14,"℃")</f>
        <v>10</v>
      </c>
      <c r="P44" s="58" t="s">
        <v>186</v>
      </c>
      <c r="Q44" s="11"/>
      <c r="R44" s="36" t="s">
        <v>136</v>
      </c>
      <c r="S44" s="133">
        <f aca="true" t="shared" si="0" ref="S44:S51">F44*(I44*K44-M44*O44)/10^6</f>
        <v>4.6508755912436515</v>
      </c>
      <c r="T44" s="133"/>
      <c r="U44" s="59" t="s">
        <v>176</v>
      </c>
    </row>
    <row r="45" spans="1:21" ht="11.25" customHeight="1">
      <c r="A45" s="3">
        <v>43</v>
      </c>
      <c r="B45" s="118"/>
      <c r="C45" s="124"/>
      <c r="D45" s="17" t="s">
        <v>187</v>
      </c>
      <c r="E45" s="17" t="s">
        <v>136</v>
      </c>
      <c r="F45" s="125">
        <f>R33</f>
        <v>0</v>
      </c>
      <c r="G45" s="125"/>
      <c r="H45" s="60" t="s">
        <v>183</v>
      </c>
      <c r="I45" s="61">
        <f>I44</f>
        <v>12.48089307023644</v>
      </c>
      <c r="J45" s="60" t="s">
        <v>184</v>
      </c>
      <c r="K45" s="61">
        <f>K44</f>
        <v>158.28596762908052</v>
      </c>
      <c r="L45" s="60" t="s">
        <v>185</v>
      </c>
      <c r="M45" s="61">
        <f>M44</f>
        <v>11.519999999999998</v>
      </c>
      <c r="N45" s="60" t="s">
        <v>184</v>
      </c>
      <c r="O45" s="61">
        <f>O44</f>
        <v>10</v>
      </c>
      <c r="P45" s="62" t="s">
        <v>186</v>
      </c>
      <c r="Q45" s="17"/>
      <c r="R45" s="60" t="s">
        <v>136</v>
      </c>
      <c r="S45" s="122">
        <f t="shared" si="0"/>
        <v>0</v>
      </c>
      <c r="T45" s="122"/>
      <c r="U45" s="63" t="s">
        <v>176</v>
      </c>
    </row>
    <row r="46" spans="1:21" ht="11.25" customHeight="1">
      <c r="A46" s="3">
        <v>44</v>
      </c>
      <c r="B46" s="132" t="s">
        <v>181</v>
      </c>
      <c r="C46" s="123" t="str">
        <f>L22</f>
        <v>N1</v>
      </c>
      <c r="D46" s="5" t="s">
        <v>182</v>
      </c>
      <c r="E46" s="5" t="s">
        <v>136</v>
      </c>
      <c r="F46" s="119">
        <f>L21</f>
        <v>1400</v>
      </c>
      <c r="G46" s="119"/>
      <c r="H46" s="38" t="s">
        <v>183</v>
      </c>
      <c r="I46" s="54">
        <f>L38</f>
        <v>12.48089307023644</v>
      </c>
      <c r="J46" s="38" t="s">
        <v>184</v>
      </c>
      <c r="K46" s="54">
        <f>tempconv(G12,J12,"℃")</f>
        <v>158.28596762908052</v>
      </c>
      <c r="L46" s="38" t="s">
        <v>185</v>
      </c>
      <c r="M46" s="54">
        <f>L40</f>
        <v>11.519999999999998</v>
      </c>
      <c r="N46" s="38" t="s">
        <v>184</v>
      </c>
      <c r="O46" s="54">
        <f>tempconv(G14,J14,"℃")</f>
        <v>10</v>
      </c>
      <c r="P46" s="55" t="s">
        <v>186</v>
      </c>
      <c r="Q46" s="5"/>
      <c r="R46" s="38" t="s">
        <v>136</v>
      </c>
      <c r="S46" s="126">
        <f t="shared" si="0"/>
        <v>2.6044903310964447</v>
      </c>
      <c r="T46" s="126"/>
      <c r="U46" s="56" t="s">
        <v>176</v>
      </c>
    </row>
    <row r="47" spans="1:21" ht="11.25" customHeight="1">
      <c r="A47" s="3">
        <v>45</v>
      </c>
      <c r="B47" s="175"/>
      <c r="C47" s="176"/>
      <c r="D47" s="8" t="s">
        <v>187</v>
      </c>
      <c r="E47" s="8" t="s">
        <v>136</v>
      </c>
      <c r="F47" s="128">
        <f>M21</f>
        <v>2124</v>
      </c>
      <c r="G47" s="128"/>
      <c r="H47" s="64" t="s">
        <v>183</v>
      </c>
      <c r="I47" s="65">
        <f>I46</f>
        <v>12.48089307023644</v>
      </c>
      <c r="J47" s="64" t="s">
        <v>184</v>
      </c>
      <c r="K47" s="65">
        <f>K46</f>
        <v>158.28596762908052</v>
      </c>
      <c r="L47" s="64" t="s">
        <v>185</v>
      </c>
      <c r="M47" s="65">
        <f>M46</f>
        <v>11.519999999999998</v>
      </c>
      <c r="N47" s="64" t="s">
        <v>184</v>
      </c>
      <c r="O47" s="65">
        <f>O46</f>
        <v>10</v>
      </c>
      <c r="P47" s="66" t="s">
        <v>186</v>
      </c>
      <c r="Q47" s="8"/>
      <c r="R47" s="64" t="s">
        <v>136</v>
      </c>
      <c r="S47" s="127">
        <f t="shared" si="0"/>
        <v>3.951383902320606</v>
      </c>
      <c r="T47" s="127"/>
      <c r="U47" s="67" t="s">
        <v>176</v>
      </c>
    </row>
    <row r="48" spans="1:21" ht="11.25" customHeight="1">
      <c r="A48" s="3">
        <v>46</v>
      </c>
      <c r="B48" s="132" t="s">
        <v>181</v>
      </c>
      <c r="C48" s="123" t="str">
        <f>R22</f>
        <v>N2</v>
      </c>
      <c r="D48" s="11" t="s">
        <v>182</v>
      </c>
      <c r="E48" s="11" t="s">
        <v>136</v>
      </c>
      <c r="F48" s="131">
        <f>R21</f>
        <v>3500</v>
      </c>
      <c r="G48" s="131"/>
      <c r="H48" s="36" t="s">
        <v>183</v>
      </c>
      <c r="I48" s="57">
        <f>L38</f>
        <v>12.48089307023644</v>
      </c>
      <c r="J48" s="36" t="s">
        <v>184</v>
      </c>
      <c r="K48" s="57">
        <f>tempconv(G12,J12,"℃")</f>
        <v>158.28596762908052</v>
      </c>
      <c r="L48" s="36" t="s">
        <v>185</v>
      </c>
      <c r="M48" s="57">
        <f>L40</f>
        <v>11.519999999999998</v>
      </c>
      <c r="N48" s="36" t="s">
        <v>184</v>
      </c>
      <c r="O48" s="57">
        <f>tempconv(G14,J14,"℃")</f>
        <v>10</v>
      </c>
      <c r="P48" s="58" t="s">
        <v>186</v>
      </c>
      <c r="Q48" s="11"/>
      <c r="R48" s="36" t="s">
        <v>136</v>
      </c>
      <c r="S48" s="133">
        <f>F48*(I48*K48-M48*O48)/10^6</f>
        <v>6.511225827741113</v>
      </c>
      <c r="T48" s="133"/>
      <c r="U48" s="59" t="s">
        <v>176</v>
      </c>
    </row>
    <row r="49" spans="1:21" ht="11.25" customHeight="1">
      <c r="A49" s="3">
        <v>47</v>
      </c>
      <c r="B49" s="118"/>
      <c r="C49" s="124"/>
      <c r="D49" s="17" t="s">
        <v>187</v>
      </c>
      <c r="E49" s="17" t="s">
        <v>136</v>
      </c>
      <c r="F49" s="125">
        <f>S21</f>
        <v>2124</v>
      </c>
      <c r="G49" s="125"/>
      <c r="H49" s="60" t="s">
        <v>183</v>
      </c>
      <c r="I49" s="61">
        <f>I48</f>
        <v>12.48089307023644</v>
      </c>
      <c r="J49" s="60" t="s">
        <v>184</v>
      </c>
      <c r="K49" s="61">
        <f>K48</f>
        <v>158.28596762908052</v>
      </c>
      <c r="L49" s="60" t="s">
        <v>185</v>
      </c>
      <c r="M49" s="61">
        <f>M48</f>
        <v>11.519999999999998</v>
      </c>
      <c r="N49" s="60" t="s">
        <v>184</v>
      </c>
      <c r="O49" s="61">
        <f>O48</f>
        <v>10</v>
      </c>
      <c r="P49" s="62" t="s">
        <v>186</v>
      </c>
      <c r="Q49" s="17"/>
      <c r="R49" s="60" t="s">
        <v>136</v>
      </c>
      <c r="S49" s="122">
        <f>F49*(I49*K49-M49*O49)/10^6</f>
        <v>3.951383902320606</v>
      </c>
      <c r="T49" s="122"/>
      <c r="U49" s="63" t="s">
        <v>176</v>
      </c>
    </row>
    <row r="50" spans="1:21" ht="11.25" customHeight="1">
      <c r="A50" s="3">
        <v>48</v>
      </c>
      <c r="B50" s="132" t="s">
        <v>181</v>
      </c>
      <c r="C50" s="123" t="str">
        <f>H31</f>
        <v>N3</v>
      </c>
      <c r="D50" s="11" t="s">
        <v>182</v>
      </c>
      <c r="E50" s="11" t="s">
        <v>136</v>
      </c>
      <c r="F50" s="131">
        <f>H32</f>
        <v>-530</v>
      </c>
      <c r="G50" s="131"/>
      <c r="H50" s="36" t="s">
        <v>183</v>
      </c>
      <c r="I50" s="57">
        <f>L38</f>
        <v>12.48089307023644</v>
      </c>
      <c r="J50" s="36" t="s">
        <v>184</v>
      </c>
      <c r="K50" s="57">
        <f>tempconv(G12,J12,"℃")</f>
        <v>158.28596762908052</v>
      </c>
      <c r="L50" s="36" t="s">
        <v>185</v>
      </c>
      <c r="M50" s="57">
        <f>L40</f>
        <v>11.519999999999998</v>
      </c>
      <c r="N50" s="36" t="s">
        <v>184</v>
      </c>
      <c r="O50" s="57">
        <f>tempconv(G14,J14,"℃")</f>
        <v>10</v>
      </c>
      <c r="P50" s="58" t="s">
        <v>186</v>
      </c>
      <c r="Q50" s="11"/>
      <c r="R50" s="36" t="s">
        <v>136</v>
      </c>
      <c r="S50" s="133">
        <f t="shared" si="0"/>
        <v>-0.9859856253436542</v>
      </c>
      <c r="T50" s="133"/>
      <c r="U50" s="59" t="s">
        <v>176</v>
      </c>
    </row>
    <row r="51" spans="1:21" ht="11.25" customHeight="1">
      <c r="A51" s="3">
        <v>49</v>
      </c>
      <c r="B51" s="118"/>
      <c r="C51" s="124"/>
      <c r="D51" s="17" t="s">
        <v>187</v>
      </c>
      <c r="E51" s="17" t="s">
        <v>136</v>
      </c>
      <c r="F51" s="125">
        <f>I32</f>
        <v>-300</v>
      </c>
      <c r="G51" s="125"/>
      <c r="H51" s="60" t="s">
        <v>183</v>
      </c>
      <c r="I51" s="61">
        <f>I50</f>
        <v>12.48089307023644</v>
      </c>
      <c r="J51" s="60" t="s">
        <v>184</v>
      </c>
      <c r="K51" s="61">
        <f>K50</f>
        <v>158.28596762908052</v>
      </c>
      <c r="L51" s="60" t="s">
        <v>185</v>
      </c>
      <c r="M51" s="61">
        <f>M50</f>
        <v>11.519999999999998</v>
      </c>
      <c r="N51" s="60" t="s">
        <v>184</v>
      </c>
      <c r="O51" s="61">
        <f>O50</f>
        <v>10</v>
      </c>
      <c r="P51" s="62" t="s">
        <v>186</v>
      </c>
      <c r="Q51" s="17"/>
      <c r="R51" s="60" t="s">
        <v>136</v>
      </c>
      <c r="S51" s="122">
        <f t="shared" si="0"/>
        <v>-0.5581050709492381</v>
      </c>
      <c r="T51" s="122"/>
      <c r="U51" s="63" t="s">
        <v>176</v>
      </c>
    </row>
    <row r="52" spans="1:21" ht="11.25" customHeight="1">
      <c r="A52" s="3">
        <v>50</v>
      </c>
      <c r="B52" s="33"/>
      <c r="C52" s="69"/>
      <c r="D52" s="11" t="s">
        <v>188</v>
      </c>
      <c r="E52" s="11" t="s">
        <v>136</v>
      </c>
      <c r="F52" s="131">
        <f>F56</f>
        <v>-900</v>
      </c>
      <c r="G52" s="131"/>
      <c r="H52" s="36" t="s">
        <v>183</v>
      </c>
      <c r="I52" s="57">
        <f>I56</f>
        <v>12.48089307023644</v>
      </c>
      <c r="J52" s="36" t="s">
        <v>184</v>
      </c>
      <c r="K52" s="57">
        <f>K56</f>
        <v>158.28596762908052</v>
      </c>
      <c r="L52" s="36" t="s">
        <v>185</v>
      </c>
      <c r="M52" s="57">
        <f>M56</f>
        <v>11.519999999999998</v>
      </c>
      <c r="N52" s="36" t="s">
        <v>184</v>
      </c>
      <c r="O52" s="57">
        <f>O56</f>
        <v>10</v>
      </c>
      <c r="P52" s="58" t="s">
        <v>186</v>
      </c>
      <c r="Q52" s="11"/>
      <c r="R52" s="36" t="s">
        <v>136</v>
      </c>
      <c r="S52" s="135">
        <f>F52*(I52*K52-M52*O52)/10^6</f>
        <v>-1.6743152128477146</v>
      </c>
      <c r="T52" s="135"/>
      <c r="U52" s="59" t="s">
        <v>176</v>
      </c>
    </row>
    <row r="53" spans="1:21" ht="11.25" customHeight="1">
      <c r="A53" s="3">
        <v>51</v>
      </c>
      <c r="B53" s="41" t="s">
        <v>181</v>
      </c>
      <c r="C53" s="45" t="str">
        <f>E31</f>
        <v>N4</v>
      </c>
      <c r="D53" s="7" t="s">
        <v>189</v>
      </c>
      <c r="E53" s="7" t="s">
        <v>136</v>
      </c>
      <c r="F53" s="120">
        <f>F57</f>
        <v>-710</v>
      </c>
      <c r="G53" s="120"/>
      <c r="H53" s="32" t="s">
        <v>183</v>
      </c>
      <c r="I53" s="48">
        <f>Q38</f>
        <v>11.876399999999999</v>
      </c>
      <c r="J53" s="32" t="s">
        <v>184</v>
      </c>
      <c r="K53" s="48">
        <f>tempconv(Q11,T11,"℃")</f>
        <v>65</v>
      </c>
      <c r="L53" s="32" t="s">
        <v>185</v>
      </c>
      <c r="M53" s="48">
        <f>M57</f>
        <v>11.519999999999998</v>
      </c>
      <c r="N53" s="32" t="s">
        <v>184</v>
      </c>
      <c r="O53" s="48">
        <f>O57</f>
        <v>10</v>
      </c>
      <c r="P53" s="50" t="s">
        <v>186</v>
      </c>
      <c r="Q53" s="7"/>
      <c r="R53" s="32" t="s">
        <v>136</v>
      </c>
      <c r="S53" s="121">
        <f>F53*(I53*K53-M53*O53)/10^6</f>
        <v>-0.46630385999999996</v>
      </c>
      <c r="T53" s="121"/>
      <c r="U53" s="49" t="s">
        <v>176</v>
      </c>
    </row>
    <row r="54" spans="1:21" ht="11.25" customHeight="1">
      <c r="A54" s="3">
        <v>52</v>
      </c>
      <c r="B54" s="41"/>
      <c r="C54" s="19"/>
      <c r="D54" s="8" t="s">
        <v>182</v>
      </c>
      <c r="E54" s="8" t="s">
        <v>136</v>
      </c>
      <c r="F54" s="64" t="s">
        <v>188</v>
      </c>
      <c r="G54" s="64" t="s">
        <v>190</v>
      </c>
      <c r="H54" s="64" t="s">
        <v>189</v>
      </c>
      <c r="I54" s="8"/>
      <c r="J54" s="8"/>
      <c r="K54" s="8"/>
      <c r="L54" s="8"/>
      <c r="M54" s="8"/>
      <c r="N54" s="8"/>
      <c r="O54" s="8"/>
      <c r="P54" s="8"/>
      <c r="Q54" s="8"/>
      <c r="R54" s="64" t="s">
        <v>136</v>
      </c>
      <c r="S54" s="127">
        <f>S52+S53</f>
        <v>-2.1406190728477146</v>
      </c>
      <c r="T54" s="127"/>
      <c r="U54" s="67" t="s">
        <v>176</v>
      </c>
    </row>
    <row r="55" spans="1:21" ht="11.25" customHeight="1">
      <c r="A55" s="3">
        <v>53</v>
      </c>
      <c r="B55" s="43"/>
      <c r="C55" s="23"/>
      <c r="D55" s="70" t="s">
        <v>187</v>
      </c>
      <c r="E55" s="70" t="s">
        <v>136</v>
      </c>
      <c r="F55" s="136">
        <f>-D30</f>
        <v>-300</v>
      </c>
      <c r="G55" s="136"/>
      <c r="H55" s="71" t="s">
        <v>183</v>
      </c>
      <c r="I55" s="72">
        <f>I53</f>
        <v>11.876399999999999</v>
      </c>
      <c r="J55" s="71" t="s">
        <v>184</v>
      </c>
      <c r="K55" s="72">
        <f>K53</f>
        <v>65</v>
      </c>
      <c r="L55" s="71" t="s">
        <v>185</v>
      </c>
      <c r="M55" s="72">
        <f>M53</f>
        <v>11.519999999999998</v>
      </c>
      <c r="N55" s="71" t="s">
        <v>184</v>
      </c>
      <c r="O55" s="72">
        <f>O53</f>
        <v>10</v>
      </c>
      <c r="P55" s="73" t="s">
        <v>186</v>
      </c>
      <c r="Q55" s="70"/>
      <c r="R55" s="71" t="s">
        <v>136</v>
      </c>
      <c r="S55" s="117">
        <f>F55*(I55*K55-M55*O55)/10^6</f>
        <v>-0.19702979999999998</v>
      </c>
      <c r="T55" s="117"/>
      <c r="U55" s="74" t="s">
        <v>176</v>
      </c>
    </row>
    <row r="56" spans="1:21" ht="11.25" customHeight="1">
      <c r="A56" s="3">
        <v>54</v>
      </c>
      <c r="B56" s="33"/>
      <c r="C56" s="69"/>
      <c r="D56" s="5" t="s">
        <v>188</v>
      </c>
      <c r="E56" s="5" t="s">
        <v>136</v>
      </c>
      <c r="F56" s="119">
        <f>-G26</f>
        <v>-900</v>
      </c>
      <c r="G56" s="119"/>
      <c r="H56" s="38" t="s">
        <v>183</v>
      </c>
      <c r="I56" s="54">
        <f>L38</f>
        <v>12.48089307023644</v>
      </c>
      <c r="J56" s="38" t="s">
        <v>184</v>
      </c>
      <c r="K56" s="54">
        <f>tempconv(G12,J12,"℃")</f>
        <v>158.28596762908052</v>
      </c>
      <c r="L56" s="38" t="s">
        <v>185</v>
      </c>
      <c r="M56" s="54">
        <f>L40</f>
        <v>11.519999999999998</v>
      </c>
      <c r="N56" s="38" t="s">
        <v>184</v>
      </c>
      <c r="O56" s="54">
        <f>tempconv(G14,J14,"℃")</f>
        <v>10</v>
      </c>
      <c r="P56" s="55" t="s">
        <v>186</v>
      </c>
      <c r="Q56" s="5"/>
      <c r="R56" s="38" t="s">
        <v>136</v>
      </c>
      <c r="S56" s="134">
        <f>F56*(I56*K56-M56*O56)/10^6</f>
        <v>-1.6743152128477146</v>
      </c>
      <c r="T56" s="134"/>
      <c r="U56" s="56" t="s">
        <v>176</v>
      </c>
    </row>
    <row r="57" spans="1:21" ht="11.25" customHeight="1">
      <c r="A57" s="3">
        <v>55</v>
      </c>
      <c r="B57" s="41"/>
      <c r="C57" s="19"/>
      <c r="D57" s="7" t="s">
        <v>189</v>
      </c>
      <c r="E57" s="7" t="s">
        <v>136</v>
      </c>
      <c r="F57" s="120">
        <f>-F26</f>
        <v>-710</v>
      </c>
      <c r="G57" s="120"/>
      <c r="H57" s="32" t="s">
        <v>183</v>
      </c>
      <c r="I57" s="48">
        <f>Q39</f>
        <v>12.1356</v>
      </c>
      <c r="J57" s="32" t="s">
        <v>184</v>
      </c>
      <c r="K57" s="48">
        <f>tempconv(Q12,T12,"℃")</f>
        <v>105</v>
      </c>
      <c r="L57" s="32" t="s">
        <v>185</v>
      </c>
      <c r="M57" s="48">
        <f>Q40</f>
        <v>11.519999999999998</v>
      </c>
      <c r="N57" s="32" t="s">
        <v>184</v>
      </c>
      <c r="O57" s="48">
        <f>tempconv(G14,J14,"℃")</f>
        <v>10</v>
      </c>
      <c r="P57" s="50" t="s">
        <v>186</v>
      </c>
      <c r="Q57" s="7"/>
      <c r="R57" s="32" t="s">
        <v>136</v>
      </c>
      <c r="S57" s="121">
        <f>F57*(I57*K57-M57*O57)/10^6</f>
        <v>-0.82291698</v>
      </c>
      <c r="T57" s="121"/>
      <c r="U57" s="49" t="s">
        <v>176</v>
      </c>
    </row>
    <row r="58" spans="1:21" ht="11.25" customHeight="1">
      <c r="A58" s="3">
        <v>56</v>
      </c>
      <c r="B58" s="41" t="s">
        <v>181</v>
      </c>
      <c r="C58" s="45" t="str">
        <f>E22</f>
        <v>N5</v>
      </c>
      <c r="D58" s="8" t="s">
        <v>182</v>
      </c>
      <c r="E58" s="8" t="s">
        <v>136</v>
      </c>
      <c r="F58" s="64" t="s">
        <v>188</v>
      </c>
      <c r="G58" s="64" t="s">
        <v>190</v>
      </c>
      <c r="H58" s="64" t="s">
        <v>189</v>
      </c>
      <c r="I58" s="8"/>
      <c r="J58" s="8"/>
      <c r="K58" s="8"/>
      <c r="L58" s="8"/>
      <c r="M58" s="8"/>
      <c r="N58" s="8"/>
      <c r="O58" s="8"/>
      <c r="P58" s="8"/>
      <c r="Q58" s="8"/>
      <c r="R58" s="64" t="s">
        <v>136</v>
      </c>
      <c r="S58" s="127">
        <f>S56+S57</f>
        <v>-2.4972321928477146</v>
      </c>
      <c r="T58" s="127"/>
      <c r="U58" s="67" t="s">
        <v>176</v>
      </c>
    </row>
    <row r="59" spans="1:21" ht="11.25" customHeight="1">
      <c r="A59" s="3">
        <v>57</v>
      </c>
      <c r="B59" s="41"/>
      <c r="C59" s="19"/>
      <c r="D59" s="11" t="s">
        <v>518</v>
      </c>
      <c r="E59" s="11" t="s">
        <v>136</v>
      </c>
      <c r="F59" s="131">
        <f>C25/2</f>
        <v>815</v>
      </c>
      <c r="G59" s="131"/>
      <c r="H59" s="36" t="s">
        <v>183</v>
      </c>
      <c r="I59" s="57">
        <f>I55</f>
        <v>11.876399999999999</v>
      </c>
      <c r="J59" s="36" t="s">
        <v>184</v>
      </c>
      <c r="K59" s="57">
        <f>K55</f>
        <v>65</v>
      </c>
      <c r="L59" s="36" t="s">
        <v>185</v>
      </c>
      <c r="M59" s="57">
        <f>M56</f>
        <v>11.519999999999998</v>
      </c>
      <c r="N59" s="36" t="s">
        <v>184</v>
      </c>
      <c r="O59" s="57">
        <f>O56</f>
        <v>10</v>
      </c>
      <c r="P59" s="58" t="s">
        <v>186</v>
      </c>
      <c r="Q59" s="11"/>
      <c r="R59" s="36" t="s">
        <v>136</v>
      </c>
      <c r="S59" s="135">
        <f>F59*(I59*K59-M59*O59)/10^6</f>
        <v>0.53526429</v>
      </c>
      <c r="T59" s="135"/>
      <c r="U59" s="59" t="s">
        <v>176</v>
      </c>
    </row>
    <row r="60" spans="1:21" ht="11.25" customHeight="1">
      <c r="A60" s="3">
        <v>58</v>
      </c>
      <c r="B60" s="41"/>
      <c r="C60" s="19"/>
      <c r="D60" s="7" t="s">
        <v>519</v>
      </c>
      <c r="E60" s="7" t="s">
        <v>136</v>
      </c>
      <c r="F60" s="120">
        <f>C25/2+D23</f>
        <v>1115</v>
      </c>
      <c r="G60" s="120"/>
      <c r="H60" s="32" t="s">
        <v>183</v>
      </c>
      <c r="I60" s="48">
        <f>I57</f>
        <v>12.1356</v>
      </c>
      <c r="J60" s="32" t="s">
        <v>184</v>
      </c>
      <c r="K60" s="48">
        <f>K57</f>
        <v>105</v>
      </c>
      <c r="L60" s="32" t="s">
        <v>185</v>
      </c>
      <c r="M60" s="48">
        <f>M57</f>
        <v>11.519999999999998</v>
      </c>
      <c r="N60" s="32" t="s">
        <v>184</v>
      </c>
      <c r="O60" s="48">
        <f>O57</f>
        <v>10</v>
      </c>
      <c r="P60" s="50" t="s">
        <v>186</v>
      </c>
      <c r="Q60" s="7"/>
      <c r="R60" s="32" t="s">
        <v>136</v>
      </c>
      <c r="S60" s="121">
        <f>F60*(I60*K60-M60*O60)/10^6</f>
        <v>1.2923273700000002</v>
      </c>
      <c r="T60" s="121"/>
      <c r="U60" s="49" t="s">
        <v>176</v>
      </c>
    </row>
    <row r="61" spans="1:21" ht="11.25" customHeight="1">
      <c r="A61" s="3">
        <v>59</v>
      </c>
      <c r="B61" s="43"/>
      <c r="C61" s="23"/>
      <c r="D61" s="17" t="s">
        <v>187</v>
      </c>
      <c r="E61" s="17" t="s">
        <v>136</v>
      </c>
      <c r="F61" s="60" t="str">
        <f>D59</f>
        <v>Δzci</v>
      </c>
      <c r="G61" s="60" t="s">
        <v>190</v>
      </c>
      <c r="H61" s="60" t="str">
        <f>D60</f>
        <v>Δzco</v>
      </c>
      <c r="I61" s="17"/>
      <c r="J61" s="17"/>
      <c r="K61" s="17"/>
      <c r="L61" s="17"/>
      <c r="M61" s="17"/>
      <c r="N61" s="17"/>
      <c r="O61" s="17"/>
      <c r="P61" s="17"/>
      <c r="Q61" s="17"/>
      <c r="R61" s="60" t="s">
        <v>136</v>
      </c>
      <c r="S61" s="122">
        <f>S59+S60</f>
        <v>1.8275916600000002</v>
      </c>
      <c r="T61" s="122"/>
      <c r="U61" s="63" t="s">
        <v>176</v>
      </c>
    </row>
    <row r="62" spans="1:21" ht="11.25" customHeight="1">
      <c r="A62" s="16">
        <v>60</v>
      </c>
      <c r="B62" s="14" t="s">
        <v>191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5"/>
    </row>
    <row r="63" spans="1:21" ht="11.25" customHeight="1">
      <c r="A63" s="3">
        <v>61</v>
      </c>
      <c r="B63" s="104" t="s">
        <v>192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</row>
    <row r="64" spans="1:21" ht="11.25" customHeight="1">
      <c r="A64" s="3">
        <v>62</v>
      </c>
      <c r="B64" s="104" t="s">
        <v>233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</row>
    <row r="65" spans="1:21" ht="11.25" customHeight="1">
      <c r="A65" s="3">
        <v>63</v>
      </c>
      <c r="B65" s="105" t="s">
        <v>234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</row>
    <row r="66" spans="1:21" ht="11.25" customHeight="1">
      <c r="A66" s="3"/>
      <c r="B66" s="22" t="s">
        <v>536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09" t="s">
        <v>537</v>
      </c>
    </row>
    <row r="67" ht="11.25" customHeight="1">
      <c r="A67" s="3"/>
    </row>
    <row r="68" ht="11.25" customHeight="1">
      <c r="A68" s="3"/>
    </row>
  </sheetData>
  <mergeCells count="88">
    <mergeCell ref="B48:B49"/>
    <mergeCell ref="S60:T60"/>
    <mergeCell ref="B50:B51"/>
    <mergeCell ref="C46:C47"/>
    <mergeCell ref="F55:G55"/>
    <mergeCell ref="S55:T55"/>
    <mergeCell ref="F57:G57"/>
    <mergeCell ref="S57:T57"/>
    <mergeCell ref="S46:T46"/>
    <mergeCell ref="S47:T47"/>
    <mergeCell ref="B38:G39"/>
    <mergeCell ref="F50:G50"/>
    <mergeCell ref="F44:G44"/>
    <mergeCell ref="B46:B47"/>
    <mergeCell ref="F46:G46"/>
    <mergeCell ref="B44:B45"/>
    <mergeCell ref="F45:G45"/>
    <mergeCell ref="C44:C45"/>
    <mergeCell ref="C50:C51"/>
    <mergeCell ref="F47:G47"/>
    <mergeCell ref="S61:T61"/>
    <mergeCell ref="F52:G52"/>
    <mergeCell ref="S52:T52"/>
    <mergeCell ref="F53:G53"/>
    <mergeCell ref="S53:T53"/>
    <mergeCell ref="S58:T58"/>
    <mergeCell ref="S54:T54"/>
    <mergeCell ref="F59:G59"/>
    <mergeCell ref="S59:T59"/>
    <mergeCell ref="F60:G60"/>
    <mergeCell ref="S50:T50"/>
    <mergeCell ref="F51:G51"/>
    <mergeCell ref="S51:T51"/>
    <mergeCell ref="F56:G56"/>
    <mergeCell ref="S56:T56"/>
    <mergeCell ref="S45:T45"/>
    <mergeCell ref="Q32:R32"/>
    <mergeCell ref="N37:R37"/>
    <mergeCell ref="S44:T44"/>
    <mergeCell ref="H28:I28"/>
    <mergeCell ref="B25:B28"/>
    <mergeCell ref="C25:C28"/>
    <mergeCell ref="I37:M37"/>
    <mergeCell ref="E31:F31"/>
    <mergeCell ref="G26:I26"/>
    <mergeCell ref="R22:S22"/>
    <mergeCell ref="L31:M31"/>
    <mergeCell ref="L34:O34"/>
    <mergeCell ref="J24:L24"/>
    <mergeCell ref="J28:L28"/>
    <mergeCell ref="O25:O28"/>
    <mergeCell ref="L38:M38"/>
    <mergeCell ref="L40:M40"/>
    <mergeCell ref="B36:U36"/>
    <mergeCell ref="B19:U19"/>
    <mergeCell ref="Q38:R38"/>
    <mergeCell ref="Q39:R39"/>
    <mergeCell ref="Q40:R40"/>
    <mergeCell ref="E22:F22"/>
    <mergeCell ref="P25:P28"/>
    <mergeCell ref="L22:M22"/>
    <mergeCell ref="X11:AA11"/>
    <mergeCell ref="AB11:AE11"/>
    <mergeCell ref="B9:K9"/>
    <mergeCell ref="L9:U9"/>
    <mergeCell ref="X9:AA9"/>
    <mergeCell ref="AB9:AE9"/>
    <mergeCell ref="X10:AA10"/>
    <mergeCell ref="AB10:AE10"/>
    <mergeCell ref="G10:I10"/>
    <mergeCell ref="Q10:S10"/>
    <mergeCell ref="R7:U7"/>
    <mergeCell ref="B8:U8"/>
    <mergeCell ref="B15:U15"/>
    <mergeCell ref="G11:I11"/>
    <mergeCell ref="G12:I12"/>
    <mergeCell ref="Q11:S11"/>
    <mergeCell ref="Q12:S12"/>
    <mergeCell ref="G14:I14"/>
    <mergeCell ref="B1:U2"/>
    <mergeCell ref="R3:U3"/>
    <mergeCell ref="R4:U4"/>
    <mergeCell ref="R5:U5"/>
    <mergeCell ref="C48:C49"/>
    <mergeCell ref="F48:G48"/>
    <mergeCell ref="S48:T48"/>
    <mergeCell ref="F49:G49"/>
    <mergeCell ref="S49:T49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K65"/>
  <sheetViews>
    <sheetView zoomScaleSheetLayoutView="100" workbookViewId="0" topLeftCell="A1">
      <selection activeCell="O7" sqref="O7"/>
    </sheetView>
  </sheetViews>
  <sheetFormatPr defaultColWidth="8.88671875" defaultRowHeight="13.5"/>
  <cols>
    <col min="1" max="43" width="3.77734375" style="2" customWidth="1"/>
    <col min="44" max="16384" width="8.88671875" style="2" customWidth="1"/>
  </cols>
  <sheetData>
    <row r="1" spans="2:21" ht="11.25" customHeight="1">
      <c r="B1" s="165" t="s">
        <v>223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30</v>
      </c>
      <c r="C3" s="5"/>
      <c r="D3" s="5"/>
      <c r="E3" s="108" t="s">
        <v>193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32</v>
      </c>
      <c r="Q3" s="11"/>
      <c r="R3" s="171" t="s">
        <v>194</v>
      </c>
      <c r="S3" s="171"/>
      <c r="T3" s="171"/>
      <c r="U3" s="172"/>
    </row>
    <row r="4" spans="1:24" ht="11.25" customHeight="1">
      <c r="A4" s="3">
        <v>2</v>
      </c>
      <c r="B4" s="6" t="s">
        <v>34</v>
      </c>
      <c r="C4" s="7"/>
      <c r="D4" s="7"/>
      <c r="E4" s="20" t="s">
        <v>195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7"/>
      <c r="R4" s="153" t="s">
        <v>196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38</v>
      </c>
      <c r="C5" s="7"/>
      <c r="D5" s="7"/>
      <c r="E5" s="20" t="s">
        <v>197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40</v>
      </c>
      <c r="Q5" s="7"/>
      <c r="R5" s="164" t="s">
        <v>535</v>
      </c>
      <c r="S5" s="164"/>
      <c r="T5" s="164"/>
      <c r="U5" s="173"/>
      <c r="X5" s="2" t="s">
        <v>224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41</v>
      </c>
      <c r="Q6" s="23"/>
      <c r="R6" s="24">
        <v>0</v>
      </c>
      <c r="S6" s="25">
        <v>1</v>
      </c>
      <c r="T6" s="25"/>
      <c r="U6" s="26"/>
      <c r="X6" s="111">
        <v>5</v>
      </c>
      <c r="Y6" s="2" t="s">
        <v>18</v>
      </c>
      <c r="AA6" s="3">
        <f>tempconv(fprop(X10,X11,0,J12,X6,Y6,"Yes",1,0,0),"℃",J12)</f>
        <v>158.28596762908052</v>
      </c>
      <c r="AB6" s="2" t="s">
        <v>225</v>
      </c>
    </row>
    <row r="7" spans="1:28" ht="11.25" customHeight="1">
      <c r="A7" s="3">
        <v>5</v>
      </c>
      <c r="B7" s="10" t="s">
        <v>42</v>
      </c>
      <c r="C7" s="11"/>
      <c r="D7" s="11"/>
      <c r="E7" s="39" t="s">
        <v>198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44</v>
      </c>
      <c r="Q7" s="11"/>
      <c r="R7" s="161" t="s">
        <v>199</v>
      </c>
      <c r="S7" s="161"/>
      <c r="T7" s="161"/>
      <c r="U7" s="162"/>
      <c r="X7" s="3">
        <f>IF(X5&lt;&gt;"S/H",AA6,AA7)</f>
        <v>158.28596762908052</v>
      </c>
      <c r="AA7" s="111">
        <v>250</v>
      </c>
      <c r="AB7" s="2" t="s">
        <v>226</v>
      </c>
    </row>
    <row r="8" spans="1:21" ht="11.25" customHeight="1">
      <c r="A8" s="3">
        <v>6</v>
      </c>
      <c r="B8" s="145" t="s">
        <v>45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29" ht="11.25" customHeight="1">
      <c r="A9" s="3">
        <v>7</v>
      </c>
      <c r="B9" s="140" t="s">
        <v>46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47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46</v>
      </c>
      <c r="Y9" s="157"/>
      <c r="Z9" s="156" t="s">
        <v>47</v>
      </c>
      <c r="AA9" s="157"/>
      <c r="AB9" s="157"/>
      <c r="AC9" s="157"/>
    </row>
    <row r="10" spans="1:29" ht="11.25" customHeight="1">
      <c r="A10" s="3">
        <v>8</v>
      </c>
      <c r="B10" s="10" t="s">
        <v>48</v>
      </c>
      <c r="C10" s="11"/>
      <c r="D10" s="11"/>
      <c r="E10" s="11"/>
      <c r="F10" s="11"/>
      <c r="G10" s="161" t="s">
        <v>49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221</v>
      </c>
      <c r="R10" s="161"/>
      <c r="S10" s="161"/>
      <c r="T10" s="11"/>
      <c r="U10" s="15"/>
      <c r="V10" s="10" t="s">
        <v>51</v>
      </c>
      <c r="W10" s="15"/>
      <c r="X10" s="158" t="s">
        <v>20</v>
      </c>
      <c r="Y10" s="159"/>
      <c r="Z10" s="158"/>
      <c r="AA10" s="159"/>
      <c r="AB10" s="159"/>
      <c r="AC10" s="159"/>
    </row>
    <row r="11" spans="1:29" ht="11.25" customHeight="1">
      <c r="A11" s="3">
        <v>9</v>
      </c>
      <c r="B11" s="6" t="s">
        <v>228</v>
      </c>
      <c r="C11" s="7"/>
      <c r="D11" s="7"/>
      <c r="E11" s="7"/>
      <c r="F11" s="7"/>
      <c r="G11" s="153">
        <f>X6</f>
        <v>5</v>
      </c>
      <c r="H11" s="153"/>
      <c r="I11" s="153"/>
      <c r="J11" s="7" t="str">
        <f>Y6</f>
        <v>kg/cm2.g</v>
      </c>
      <c r="K11" s="7"/>
      <c r="L11" s="6" t="s">
        <v>52</v>
      </c>
      <c r="M11" s="7"/>
      <c r="N11" s="7"/>
      <c r="O11" s="28" t="s">
        <v>53</v>
      </c>
      <c r="P11" s="7" t="s">
        <v>54</v>
      </c>
      <c r="Q11" s="164">
        <v>65</v>
      </c>
      <c r="R11" s="164"/>
      <c r="S11" s="164"/>
      <c r="T11" s="7" t="str">
        <f>J12</f>
        <v>℃</v>
      </c>
      <c r="U11" s="1"/>
      <c r="V11" s="6" t="s">
        <v>55</v>
      </c>
      <c r="W11" s="1"/>
      <c r="X11" s="152" t="s">
        <v>21</v>
      </c>
      <c r="Y11" s="153"/>
      <c r="Z11" s="152"/>
      <c r="AA11" s="153"/>
      <c r="AB11" s="153"/>
      <c r="AC11" s="153"/>
    </row>
    <row r="12" spans="1:21" ht="11.25" customHeight="1">
      <c r="A12" s="3">
        <v>10</v>
      </c>
      <c r="B12" s="6" t="s">
        <v>229</v>
      </c>
      <c r="C12" s="7"/>
      <c r="D12" s="7"/>
      <c r="E12" s="28" t="s">
        <v>56</v>
      </c>
      <c r="F12" s="7" t="s">
        <v>54</v>
      </c>
      <c r="G12" s="163">
        <f>X7</f>
        <v>158.28596762908052</v>
      </c>
      <c r="H12" s="163"/>
      <c r="I12" s="163"/>
      <c r="J12" s="7" t="s">
        <v>19</v>
      </c>
      <c r="K12" s="7"/>
      <c r="L12" s="6" t="s">
        <v>57</v>
      </c>
      <c r="M12" s="7"/>
      <c r="N12" s="7"/>
      <c r="O12" s="28" t="s">
        <v>56</v>
      </c>
      <c r="P12" s="7" t="s">
        <v>54</v>
      </c>
      <c r="Q12" s="164">
        <v>105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58</v>
      </c>
      <c r="C13" s="7"/>
      <c r="D13" s="7"/>
      <c r="E13" s="7"/>
      <c r="F13" s="7"/>
      <c r="G13" s="2" t="s">
        <v>24</v>
      </c>
      <c r="H13" s="7"/>
      <c r="I13" s="7"/>
      <c r="J13" s="7"/>
      <c r="K13" s="7"/>
      <c r="L13" s="6" t="s">
        <v>59</v>
      </c>
      <c r="M13" s="7"/>
      <c r="N13" s="7"/>
      <c r="O13" s="7"/>
      <c r="P13" s="7"/>
      <c r="Q13" s="2" t="s">
        <v>24</v>
      </c>
      <c r="R13" s="7"/>
      <c r="S13" s="7"/>
      <c r="T13" s="7"/>
      <c r="U13" s="1"/>
      <c r="V13" s="2" t="s">
        <v>60</v>
      </c>
      <c r="X13" s="2" t="s">
        <v>22</v>
      </c>
    </row>
    <row r="14" spans="1:26" ht="11.25" customHeight="1">
      <c r="A14" s="3">
        <v>12</v>
      </c>
      <c r="B14" s="10" t="s">
        <v>61</v>
      </c>
      <c r="C14" s="11"/>
      <c r="D14" s="11"/>
      <c r="E14" s="30" t="s">
        <v>62</v>
      </c>
      <c r="F14" s="11" t="s">
        <v>54</v>
      </c>
      <c r="G14" s="161">
        <v>10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Z14" s="2" t="s">
        <v>23</v>
      </c>
    </row>
    <row r="15" spans="1:21" ht="11.25" customHeight="1">
      <c r="A15" s="3">
        <v>13</v>
      </c>
      <c r="B15" s="145" t="s">
        <v>63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64</v>
      </c>
      <c r="C16" s="5" t="s">
        <v>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66</v>
      </c>
      <c r="C17" s="7" t="s">
        <v>67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68</v>
      </c>
      <c r="C18" s="7" t="s">
        <v>69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70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85" t="s">
        <v>200</v>
      </c>
      <c r="D20" s="183">
        <f>S60</f>
        <v>593168.2360771104</v>
      </c>
      <c r="E20" s="183"/>
      <c r="F20" s="183">
        <f>S61</f>
        <v>-593168.2360771104</v>
      </c>
      <c r="G20" s="183"/>
      <c r="H20" s="40" t="s">
        <v>72</v>
      </c>
      <c r="I20" s="40"/>
      <c r="J20" s="85" t="s">
        <v>200</v>
      </c>
      <c r="K20" s="183">
        <f>S52</f>
        <v>-752475.7343796979</v>
      </c>
      <c r="L20" s="183"/>
      <c r="M20" s="183">
        <f>S53</f>
        <v>-752475.7343796979</v>
      </c>
      <c r="N20" s="183"/>
      <c r="O20" s="40" t="s">
        <v>72</v>
      </c>
      <c r="P20" s="40"/>
      <c r="Q20" s="40"/>
      <c r="R20" s="40"/>
      <c r="S20" s="40"/>
      <c r="T20" s="40"/>
      <c r="U20" s="34"/>
    </row>
    <row r="21" spans="1:21" ht="11.25" customHeight="1">
      <c r="A21" s="3">
        <v>19</v>
      </c>
      <c r="B21" s="84"/>
      <c r="C21" s="19"/>
      <c r="D21" s="31" t="s">
        <v>71</v>
      </c>
      <c r="E21" s="86">
        <f>S56</f>
        <v>-2.4972321928477146</v>
      </c>
      <c r="F21" s="86">
        <f>S59</f>
        <v>1.8275916600000002</v>
      </c>
      <c r="G21" s="19" t="s">
        <v>72</v>
      </c>
      <c r="H21" s="19"/>
      <c r="I21" s="19"/>
      <c r="J21" s="19"/>
      <c r="K21" s="31" t="s">
        <v>71</v>
      </c>
      <c r="L21" s="86">
        <f>S50</f>
        <v>2.6044903310964447</v>
      </c>
      <c r="M21" s="86">
        <f>S51</f>
        <v>3.951383902320606</v>
      </c>
      <c r="N21" s="19" t="s">
        <v>72</v>
      </c>
      <c r="O21" s="19"/>
      <c r="P21" s="19"/>
      <c r="Q21" s="31" t="str">
        <f>IF(R23="***","***","Δ (")</f>
        <v>***</v>
      </c>
      <c r="R21" s="86" t="str">
        <f>IF(R23="***","***",AD47)</f>
        <v>***</v>
      </c>
      <c r="S21" s="86" t="str">
        <f>IF(R23="***","***",AD61)</f>
        <v>***</v>
      </c>
      <c r="T21" s="19" t="str">
        <f>IF(R23="***","***",")")</f>
        <v>***</v>
      </c>
      <c r="U21" s="42"/>
    </row>
    <row r="22" spans="1:21" ht="11.25" customHeight="1">
      <c r="A22" s="3">
        <v>20</v>
      </c>
      <c r="B22" s="41"/>
      <c r="C22" s="19"/>
      <c r="D22" s="31" t="str">
        <f>E23&amp;" ("</f>
        <v>N5 (</v>
      </c>
      <c r="E22" s="47">
        <f>-(F27+G27)</f>
        <v>-1610</v>
      </c>
      <c r="F22" s="47">
        <f>P26/2+C26/2+D24</f>
        <v>2027</v>
      </c>
      <c r="G22" s="19" t="s">
        <v>201</v>
      </c>
      <c r="H22" s="16" t="s">
        <v>202</v>
      </c>
      <c r="I22" s="19"/>
      <c r="J22" s="19"/>
      <c r="K22" s="31" t="str">
        <f>L23&amp;" ("</f>
        <v>N1 (</v>
      </c>
      <c r="L22" s="47">
        <f>J25</f>
        <v>1400</v>
      </c>
      <c r="M22" s="47">
        <f>P26+N24</f>
        <v>2124</v>
      </c>
      <c r="N22" s="19" t="s">
        <v>201</v>
      </c>
      <c r="O22" s="16" t="s">
        <v>202</v>
      </c>
      <c r="P22" s="19"/>
      <c r="Q22" s="31" t="str">
        <f>IF(R23="***","***",R23&amp;" (")</f>
        <v>***</v>
      </c>
      <c r="R22" s="47" t="str">
        <f>IF(R23="***","***",L35+R25)</f>
        <v>***</v>
      </c>
      <c r="S22" s="47" t="str">
        <f>IF(R23="***","***",P26+T24)</f>
        <v>***</v>
      </c>
      <c r="T22" s="19" t="str">
        <f>IF(R23="***","***",")")</f>
        <v>***</v>
      </c>
      <c r="U22" s="42"/>
    </row>
    <row r="23" spans="1:21" ht="11.25" customHeight="1">
      <c r="A23" s="3">
        <v>21</v>
      </c>
      <c r="B23" s="41"/>
      <c r="C23" s="19"/>
      <c r="D23" s="19"/>
      <c r="E23" s="143" t="s">
        <v>222</v>
      </c>
      <c r="F23" s="143"/>
      <c r="G23" s="82">
        <v>529</v>
      </c>
      <c r="H23" s="82">
        <v>15</v>
      </c>
      <c r="I23" s="19"/>
      <c r="J23" s="19"/>
      <c r="K23" s="19"/>
      <c r="L23" s="143" t="s">
        <v>73</v>
      </c>
      <c r="M23" s="143"/>
      <c r="N23" s="82">
        <v>535</v>
      </c>
      <c r="O23" s="82">
        <v>12</v>
      </c>
      <c r="P23" s="19"/>
      <c r="Q23" s="19"/>
      <c r="R23" s="143" t="s">
        <v>28</v>
      </c>
      <c r="S23" s="143"/>
      <c r="T23" s="19"/>
      <c r="U23" s="42"/>
    </row>
    <row r="24" spans="1:21" ht="11.25" customHeight="1">
      <c r="A24" s="3">
        <v>22</v>
      </c>
      <c r="B24" s="106">
        <v>15</v>
      </c>
      <c r="C24" s="19" t="s">
        <v>74</v>
      </c>
      <c r="D24" s="82">
        <v>300</v>
      </c>
      <c r="E24" s="19"/>
      <c r="F24" s="19"/>
      <c r="G24" s="19"/>
      <c r="H24" s="19"/>
      <c r="I24" s="19"/>
      <c r="J24" s="19"/>
      <c r="K24" s="19"/>
      <c r="L24" s="19"/>
      <c r="M24" s="19"/>
      <c r="N24" s="82">
        <v>300</v>
      </c>
      <c r="O24" s="82">
        <v>12</v>
      </c>
      <c r="P24" s="46" t="s">
        <v>74</v>
      </c>
      <c r="Q24" s="19"/>
      <c r="R24" s="19"/>
      <c r="S24" s="19"/>
      <c r="T24" s="82">
        <v>0</v>
      </c>
      <c r="U24" s="42"/>
    </row>
    <row r="25" spans="1:21" ht="11.25" customHeight="1">
      <c r="A25" s="3">
        <v>23</v>
      </c>
      <c r="B25" s="80" t="s">
        <v>75</v>
      </c>
      <c r="C25" s="81" t="s">
        <v>76</v>
      </c>
      <c r="D25" s="19"/>
      <c r="E25" s="19"/>
      <c r="F25" s="19"/>
      <c r="G25" s="19"/>
      <c r="H25" s="19"/>
      <c r="I25" s="19"/>
      <c r="J25" s="174">
        <v>1400</v>
      </c>
      <c r="K25" s="174"/>
      <c r="L25" s="174"/>
      <c r="M25" s="19"/>
      <c r="N25" s="19"/>
      <c r="O25" s="81" t="s">
        <v>75</v>
      </c>
      <c r="P25" s="81" t="s">
        <v>76</v>
      </c>
      <c r="Q25" s="19"/>
      <c r="R25" s="51">
        <v>0</v>
      </c>
      <c r="S25" s="19"/>
      <c r="T25" s="19"/>
      <c r="U25" s="42"/>
    </row>
    <row r="26" spans="1:21" ht="11.25" customHeight="1">
      <c r="A26" s="3">
        <v>24</v>
      </c>
      <c r="B26" s="148">
        <v>1600</v>
      </c>
      <c r="C26" s="149">
        <f>B26+2*B24</f>
        <v>1630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1">
        <v>1800</v>
      </c>
      <c r="P26" s="149">
        <f>O26+2*O24</f>
        <v>1824</v>
      </c>
      <c r="Q26" s="19"/>
      <c r="R26" s="19"/>
      <c r="S26" s="19"/>
      <c r="T26" s="19"/>
      <c r="U26" s="42"/>
    </row>
    <row r="27" spans="1:21" ht="11.25" customHeight="1">
      <c r="A27" s="3">
        <v>25</v>
      </c>
      <c r="B27" s="148"/>
      <c r="C27" s="149"/>
      <c r="D27" s="19"/>
      <c r="E27" s="19"/>
      <c r="F27" s="82">
        <v>710</v>
      </c>
      <c r="G27" s="144">
        <v>900</v>
      </c>
      <c r="H27" s="144"/>
      <c r="I27" s="144"/>
      <c r="J27" s="19"/>
      <c r="K27" s="19"/>
      <c r="L27" s="19"/>
      <c r="M27" s="19"/>
      <c r="N27" s="19"/>
      <c r="O27" s="151"/>
      <c r="P27" s="149"/>
      <c r="Q27" s="19"/>
      <c r="R27" s="19"/>
      <c r="S27" s="19"/>
      <c r="T27" s="19"/>
      <c r="U27" s="42"/>
    </row>
    <row r="28" spans="1:21" ht="11.25" customHeight="1">
      <c r="A28" s="3">
        <v>26</v>
      </c>
      <c r="B28" s="148"/>
      <c r="C28" s="14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51"/>
      <c r="P28" s="149"/>
      <c r="Q28" s="19"/>
      <c r="R28" s="19"/>
      <c r="S28" s="19"/>
      <c r="T28" s="19"/>
      <c r="U28" s="42"/>
    </row>
    <row r="29" spans="1:21" ht="11.25" customHeight="1">
      <c r="A29" s="3">
        <v>27</v>
      </c>
      <c r="B29" s="148"/>
      <c r="C29" s="149"/>
      <c r="D29" s="19"/>
      <c r="E29" s="19"/>
      <c r="F29" s="19"/>
      <c r="G29" s="19"/>
      <c r="H29" s="143">
        <v>530</v>
      </c>
      <c r="I29" s="143"/>
      <c r="J29" s="174"/>
      <c r="K29" s="174"/>
      <c r="L29" s="174"/>
      <c r="M29" s="19"/>
      <c r="N29" s="19"/>
      <c r="O29" s="151"/>
      <c r="P29" s="14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42"/>
    </row>
    <row r="31" spans="1:21" ht="11.25" customHeight="1">
      <c r="A31" s="3">
        <v>29</v>
      </c>
      <c r="B31" s="41"/>
      <c r="C31" s="19"/>
      <c r="D31" s="82">
        <v>300</v>
      </c>
      <c r="E31" s="19"/>
      <c r="F31" s="19"/>
      <c r="G31" s="110">
        <v>300</v>
      </c>
      <c r="H31" s="19"/>
      <c r="I31" s="19"/>
      <c r="J31" s="19"/>
      <c r="K31" s="19"/>
      <c r="L31" s="19"/>
      <c r="M31" s="19"/>
      <c r="N31" s="51"/>
      <c r="O31" s="19"/>
      <c r="P31" s="19"/>
      <c r="Q31" s="19"/>
      <c r="R31" s="19"/>
      <c r="S31" s="19"/>
      <c r="T31" s="19"/>
      <c r="U31" s="42"/>
    </row>
    <row r="32" spans="1:21" ht="11.25" customHeight="1">
      <c r="A32" s="3">
        <v>30</v>
      </c>
      <c r="B32" s="41"/>
      <c r="C32" s="19"/>
      <c r="D32" s="19"/>
      <c r="E32" s="143" t="s">
        <v>25</v>
      </c>
      <c r="F32" s="143"/>
      <c r="G32" s="19"/>
      <c r="H32" s="22" t="s">
        <v>26</v>
      </c>
      <c r="I32" s="19"/>
      <c r="J32" s="19"/>
      <c r="K32" s="19"/>
      <c r="L32" s="143"/>
      <c r="M32" s="143"/>
      <c r="N32" s="19"/>
      <c r="O32" s="19"/>
      <c r="P32" s="19"/>
      <c r="Q32" s="19"/>
      <c r="R32" s="19"/>
      <c r="S32" s="19"/>
      <c r="T32" s="19"/>
      <c r="U32" s="42"/>
    </row>
    <row r="33" spans="1:21" ht="11.25" customHeight="1">
      <c r="A33" s="3">
        <v>31</v>
      </c>
      <c r="B33" s="41"/>
      <c r="C33" s="19"/>
      <c r="D33" s="31" t="str">
        <f>E32&amp;" ("</f>
        <v>N4 (</v>
      </c>
      <c r="E33" s="47">
        <f>E22</f>
        <v>-1610</v>
      </c>
      <c r="F33" s="47">
        <f>P26/2-(C26/2+D31)</f>
        <v>-203</v>
      </c>
      <c r="G33" s="31" t="str">
        <f>")  "&amp;H32&amp;" ("</f>
        <v>)  N3 (</v>
      </c>
      <c r="H33" s="47">
        <f>-H29</f>
        <v>-530</v>
      </c>
      <c r="I33" s="47">
        <f>-G31</f>
        <v>-300</v>
      </c>
      <c r="J33" s="19" t="s">
        <v>72</v>
      </c>
      <c r="K33" s="31"/>
      <c r="L33" s="47"/>
      <c r="M33" s="47"/>
      <c r="N33" s="19"/>
      <c r="O33" s="19"/>
      <c r="P33" s="19"/>
      <c r="Q33" s="143" t="s">
        <v>77</v>
      </c>
      <c r="R33" s="143"/>
      <c r="S33" s="19"/>
      <c r="T33" s="19"/>
      <c r="U33" s="42"/>
    </row>
    <row r="34" spans="1:21" ht="11.25" customHeight="1">
      <c r="A34" s="3">
        <v>32</v>
      </c>
      <c r="B34" s="84"/>
      <c r="C34" s="19"/>
      <c r="D34" s="31" t="s">
        <v>71</v>
      </c>
      <c r="E34" s="86">
        <f>AJ56</f>
        <v>-2.1406190728477146</v>
      </c>
      <c r="F34" s="86">
        <f>AJ57</f>
        <v>-0.19702979999999998</v>
      </c>
      <c r="G34" s="19" t="s">
        <v>203</v>
      </c>
      <c r="H34" s="86">
        <f>AJ50</f>
        <v>-0.9859856253436542</v>
      </c>
      <c r="I34" s="86">
        <f>AJ51</f>
        <v>-0.5581050709492381</v>
      </c>
      <c r="J34" s="19" t="s">
        <v>72</v>
      </c>
      <c r="K34" s="19"/>
      <c r="L34" s="19"/>
      <c r="M34" s="19"/>
      <c r="N34" s="19"/>
      <c r="O34" s="19"/>
      <c r="P34" s="31" t="str">
        <f>Q33&amp;" ("</f>
        <v>SS (</v>
      </c>
      <c r="Q34" s="53">
        <f>L35</f>
        <v>2500</v>
      </c>
      <c r="R34" s="107">
        <v>0</v>
      </c>
      <c r="S34" s="19" t="s">
        <v>72</v>
      </c>
      <c r="T34" s="19"/>
      <c r="U34" s="42"/>
    </row>
    <row r="35" spans="1:21" ht="11.25" customHeight="1">
      <c r="A35" s="3">
        <v>33</v>
      </c>
      <c r="B35" s="41"/>
      <c r="C35" s="19"/>
      <c r="D35" s="19"/>
      <c r="E35" s="19"/>
      <c r="F35" s="19"/>
      <c r="G35" s="19"/>
      <c r="H35" s="19"/>
      <c r="I35" s="19"/>
      <c r="J35" s="19"/>
      <c r="K35" s="19"/>
      <c r="L35" s="144">
        <v>2500</v>
      </c>
      <c r="M35" s="144"/>
      <c r="N35" s="144"/>
      <c r="O35" s="144"/>
      <c r="P35" s="31" t="s">
        <v>71</v>
      </c>
      <c r="Q35" s="86">
        <f>S48</f>
        <v>4.6508755912436515</v>
      </c>
      <c r="R35" s="86">
        <f>S49</f>
        <v>0</v>
      </c>
      <c r="S35" s="19" t="s">
        <v>72</v>
      </c>
      <c r="T35" s="19"/>
      <c r="U35" s="42"/>
    </row>
    <row r="36" spans="1:21" ht="11.25" customHeight="1">
      <c r="A36" s="3">
        <v>34</v>
      </c>
      <c r="B36" s="4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4"/>
    </row>
    <row r="37" spans="1:21" ht="11.25" customHeight="1">
      <c r="A37" s="3">
        <v>35</v>
      </c>
      <c r="B37" s="145" t="s">
        <v>78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7"/>
    </row>
    <row r="38" spans="1:21" ht="11.25" customHeight="1">
      <c r="A38" s="3">
        <v>36</v>
      </c>
      <c r="B38" s="33"/>
      <c r="C38" s="40"/>
      <c r="D38" s="40"/>
      <c r="E38" s="40"/>
      <c r="F38" s="40"/>
      <c r="G38" s="40"/>
      <c r="H38" s="11"/>
      <c r="I38" s="139" t="str">
        <f>B13</f>
        <v> Shell Material</v>
      </c>
      <c r="J38" s="139"/>
      <c r="K38" s="139"/>
      <c r="L38" s="139"/>
      <c r="M38" s="139"/>
      <c r="N38" s="140" t="str">
        <f>L13</f>
        <v> Channel Material</v>
      </c>
      <c r="O38" s="139"/>
      <c r="P38" s="139"/>
      <c r="Q38" s="139"/>
      <c r="R38" s="139"/>
      <c r="S38" s="11"/>
      <c r="T38" s="11"/>
      <c r="U38" s="15"/>
    </row>
    <row r="39" spans="1:21" ht="11.25" customHeight="1">
      <c r="A39" s="3">
        <v>37</v>
      </c>
      <c r="B39" s="129" t="s">
        <v>220</v>
      </c>
      <c r="C39" s="130"/>
      <c r="D39" s="130"/>
      <c r="E39" s="130"/>
      <c r="F39" s="130"/>
      <c r="G39" s="130"/>
      <c r="H39" s="28" t="s">
        <v>79</v>
      </c>
      <c r="I39" s="36" t="s">
        <v>80</v>
      </c>
      <c r="J39" s="11" t="s">
        <v>81</v>
      </c>
      <c r="K39" s="11"/>
      <c r="L39" s="137">
        <f>alphaTEMA(mindex(G13,40),G12,J12)</f>
        <v>12.48089307023644</v>
      </c>
      <c r="M39" s="137"/>
      <c r="N39" s="35" t="s">
        <v>80</v>
      </c>
      <c r="O39" s="11" t="s">
        <v>82</v>
      </c>
      <c r="P39" s="11"/>
      <c r="Q39" s="137">
        <f>alphaTEMA(mindex(Q13,40),Q11,T11)</f>
        <v>11.876399999999999</v>
      </c>
      <c r="R39" s="137"/>
      <c r="S39" s="7" t="s">
        <v>83</v>
      </c>
      <c r="T39" s="7"/>
      <c r="U39" s="1"/>
    </row>
    <row r="40" spans="1:21" ht="11.25" customHeight="1">
      <c r="A40" s="3">
        <v>38</v>
      </c>
      <c r="B40" s="129"/>
      <c r="C40" s="130"/>
      <c r="D40" s="130"/>
      <c r="E40" s="130"/>
      <c r="F40" s="130"/>
      <c r="G40" s="130"/>
      <c r="H40" s="7"/>
      <c r="I40" s="7"/>
      <c r="J40" s="7"/>
      <c r="K40" s="7"/>
      <c r="L40" s="7"/>
      <c r="M40" s="7"/>
      <c r="N40" s="37" t="s">
        <v>80</v>
      </c>
      <c r="O40" s="7" t="s">
        <v>84</v>
      </c>
      <c r="P40" s="7"/>
      <c r="Q40" s="141">
        <f>alphaTEMA(mindex(Q13,40),Q12,T12)</f>
        <v>12.1356</v>
      </c>
      <c r="R40" s="141"/>
      <c r="S40" s="7" t="str">
        <f>S39</f>
        <v>mm / mm ℃ / 10^6</v>
      </c>
      <c r="T40" s="7"/>
      <c r="U40" s="1"/>
    </row>
    <row r="41" spans="1:21" ht="11.25" customHeight="1">
      <c r="A41" s="3">
        <v>39</v>
      </c>
      <c r="B41" s="41"/>
      <c r="C41" s="19"/>
      <c r="D41" s="19"/>
      <c r="E41" s="19"/>
      <c r="F41" s="19"/>
      <c r="G41" s="19"/>
      <c r="H41" s="29" t="s">
        <v>85</v>
      </c>
      <c r="I41" s="64" t="s">
        <v>80</v>
      </c>
      <c r="J41" s="8" t="s">
        <v>86</v>
      </c>
      <c r="K41" s="8"/>
      <c r="L41" s="138">
        <f>alphaTEMA(mindex(G13,40),G14,J14)</f>
        <v>11.519999999999998</v>
      </c>
      <c r="M41" s="138"/>
      <c r="N41" s="97" t="s">
        <v>80</v>
      </c>
      <c r="O41" s="8" t="str">
        <f>J41</f>
        <v>Ambient Temp.</v>
      </c>
      <c r="P41" s="8"/>
      <c r="Q41" s="138">
        <f>alphaTEMA(mindex(Q13,40),G14,J14)</f>
        <v>11.519999999999998</v>
      </c>
      <c r="R41" s="138"/>
      <c r="S41" s="8" t="str">
        <f>S39</f>
        <v>mm / mm ℃ / 10^6</v>
      </c>
      <c r="T41" s="8"/>
      <c r="U41" s="12"/>
    </row>
    <row r="42" spans="1:21" ht="11.25" customHeight="1">
      <c r="A42" s="3">
        <v>40</v>
      </c>
      <c r="B42" s="101" t="s">
        <v>204</v>
      </c>
      <c r="C42" s="23"/>
      <c r="D42" s="23"/>
      <c r="E42" s="23"/>
      <c r="F42" s="23"/>
      <c r="G42" s="23"/>
      <c r="H42" s="99" t="s">
        <v>205</v>
      </c>
      <c r="I42" s="71" t="s">
        <v>80</v>
      </c>
      <c r="J42" s="70" t="str">
        <f>J39</f>
        <v>Oper. Temp.</v>
      </c>
      <c r="K42" s="70"/>
      <c r="L42" s="184">
        <f>moetema(mindex(G13,2),G12,J12,J11)</f>
        <v>1961459.4787739676</v>
      </c>
      <c r="M42" s="185"/>
      <c r="N42" s="100" t="s">
        <v>80</v>
      </c>
      <c r="O42" s="70" t="str">
        <f>O40</f>
        <v>Outlet Temp.</v>
      </c>
      <c r="P42" s="70"/>
      <c r="Q42" s="184">
        <f>moetema(mindex(G13,2),Q12,J12,J11)</f>
        <v>1996366.071385393</v>
      </c>
      <c r="R42" s="184"/>
      <c r="S42" s="70" t="str">
        <f>upsx(J11)</f>
        <v>kg/cm2</v>
      </c>
      <c r="T42" s="70"/>
      <c r="U42" s="98"/>
    </row>
    <row r="43" spans="1:21" ht="11.25" customHeight="1">
      <c r="A43" s="3">
        <v>41</v>
      </c>
      <c r="B43" s="77" t="s">
        <v>87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4"/>
    </row>
    <row r="44" spans="1:21" ht="11.25" customHeight="1">
      <c r="A44" s="3">
        <v>42</v>
      </c>
      <c r="B44" s="41"/>
      <c r="C44" s="45" t="s">
        <v>88</v>
      </c>
      <c r="D44" s="19" t="s">
        <v>54</v>
      </c>
      <c r="E44" s="19" t="s">
        <v>89</v>
      </c>
      <c r="F44" s="19"/>
      <c r="G44" s="19"/>
      <c r="H44" s="19"/>
      <c r="I44" s="19"/>
      <c r="J44" s="19"/>
      <c r="K44" s="31" t="s">
        <v>90</v>
      </c>
      <c r="L44" s="45" t="s">
        <v>88</v>
      </c>
      <c r="M44" s="19" t="s">
        <v>97</v>
      </c>
      <c r="N44" s="19"/>
      <c r="O44" s="19" t="s">
        <v>93</v>
      </c>
      <c r="P44" s="78" t="s">
        <v>94</v>
      </c>
      <c r="Q44" s="19" t="s">
        <v>95</v>
      </c>
      <c r="R44" s="19"/>
      <c r="S44" s="19"/>
      <c r="T44" s="19"/>
      <c r="U44" s="79" t="s">
        <v>96</v>
      </c>
    </row>
    <row r="45" spans="1:21" ht="11.25" customHeight="1">
      <c r="A45" s="3">
        <v>43</v>
      </c>
      <c r="B45" s="41"/>
      <c r="C45" s="19"/>
      <c r="D45" s="19"/>
      <c r="E45" s="19"/>
      <c r="F45" s="19"/>
      <c r="G45" s="19"/>
      <c r="H45" s="19"/>
      <c r="I45" s="19"/>
      <c r="J45" s="19"/>
      <c r="K45" s="19"/>
      <c r="L45" s="45" t="s">
        <v>91</v>
      </c>
      <c r="M45" s="19" t="s">
        <v>92</v>
      </c>
      <c r="N45" s="19"/>
      <c r="O45" s="19" t="s">
        <v>93</v>
      </c>
      <c r="P45" s="19"/>
      <c r="Q45" s="19"/>
      <c r="R45" s="19"/>
      <c r="S45" s="19"/>
      <c r="T45" s="19"/>
      <c r="U45" s="42"/>
    </row>
    <row r="46" spans="1:21" ht="11.25" customHeight="1">
      <c r="A46" s="3">
        <v>44</v>
      </c>
      <c r="B46" s="41"/>
      <c r="C46" s="45" t="s">
        <v>206</v>
      </c>
      <c r="D46" s="19" t="s">
        <v>54</v>
      </c>
      <c r="E46" s="19" t="s">
        <v>207</v>
      </c>
      <c r="F46" s="19"/>
      <c r="G46" s="19"/>
      <c r="H46" s="19"/>
      <c r="I46" s="19"/>
      <c r="J46" s="19"/>
      <c r="K46" s="31" t="s">
        <v>90</v>
      </c>
      <c r="L46" s="45" t="s">
        <v>206</v>
      </c>
      <c r="M46" s="19" t="s">
        <v>208</v>
      </c>
      <c r="N46" s="19"/>
      <c r="O46" s="19"/>
      <c r="P46" s="19"/>
      <c r="Q46" s="19"/>
      <c r="R46" s="19"/>
      <c r="S46" s="19" t="str">
        <f>S42</f>
        <v>kg/cm2</v>
      </c>
      <c r="T46" s="19"/>
      <c r="U46" s="42"/>
    </row>
    <row r="47" spans="1:21" ht="11.25" customHeight="1">
      <c r="A47" s="3">
        <v>45</v>
      </c>
      <c r="B47" s="43"/>
      <c r="C47" s="23"/>
      <c r="D47" s="23"/>
      <c r="E47" s="23"/>
      <c r="F47" s="23"/>
      <c r="G47" s="23"/>
      <c r="H47" s="23"/>
      <c r="I47" s="23"/>
      <c r="J47" s="23"/>
      <c r="K47" s="23"/>
      <c r="L47" s="102" t="s">
        <v>209</v>
      </c>
      <c r="M47" s="23" t="s">
        <v>210</v>
      </c>
      <c r="N47" s="23"/>
      <c r="O47" s="23"/>
      <c r="P47" s="23"/>
      <c r="Q47" s="23"/>
      <c r="R47" s="23"/>
      <c r="S47" s="23" t="str">
        <f>IF(J11="kg/cm2.g","cm2",IF(J11="psi.g","in2","???"))</f>
        <v>cm2</v>
      </c>
      <c r="T47" s="23"/>
      <c r="U47" s="44"/>
    </row>
    <row r="48" spans="1:21" ht="11.25" customHeight="1">
      <c r="A48" s="3">
        <v>46</v>
      </c>
      <c r="B48" s="132" t="s">
        <v>98</v>
      </c>
      <c r="C48" s="123" t="str">
        <f>Q33</f>
        <v>SS</v>
      </c>
      <c r="D48" s="11" t="s">
        <v>99</v>
      </c>
      <c r="E48" s="11" t="s">
        <v>54</v>
      </c>
      <c r="F48" s="131">
        <f>Q34</f>
        <v>2500</v>
      </c>
      <c r="G48" s="131"/>
      <c r="H48" s="36" t="s">
        <v>100</v>
      </c>
      <c r="I48" s="57">
        <f>L39</f>
        <v>12.48089307023644</v>
      </c>
      <c r="J48" s="36" t="s">
        <v>101</v>
      </c>
      <c r="K48" s="57">
        <f>tempconv(G12,J12,"℃")</f>
        <v>158.28596762908052</v>
      </c>
      <c r="L48" s="36" t="s">
        <v>102</v>
      </c>
      <c r="M48" s="57">
        <f>L41</f>
        <v>11.519999999999998</v>
      </c>
      <c r="N48" s="36" t="s">
        <v>101</v>
      </c>
      <c r="O48" s="57">
        <f>tempconv(G14,J14,"℃")</f>
        <v>10</v>
      </c>
      <c r="P48" s="58" t="s">
        <v>103</v>
      </c>
      <c r="Q48" s="11"/>
      <c r="R48" s="36" t="s">
        <v>54</v>
      </c>
      <c r="S48" s="133">
        <f>F48*(I48*K48-M48*O48)/10^6</f>
        <v>4.6508755912436515</v>
      </c>
      <c r="T48" s="133"/>
      <c r="U48" s="59" t="s">
        <v>93</v>
      </c>
    </row>
    <row r="49" spans="1:21" ht="11.25" customHeight="1">
      <c r="A49" s="3">
        <v>47</v>
      </c>
      <c r="B49" s="118"/>
      <c r="C49" s="124"/>
      <c r="D49" s="17" t="s">
        <v>104</v>
      </c>
      <c r="E49" s="17" t="s">
        <v>54</v>
      </c>
      <c r="F49" s="125">
        <f>R34</f>
        <v>0</v>
      </c>
      <c r="G49" s="125"/>
      <c r="H49" s="60" t="s">
        <v>100</v>
      </c>
      <c r="I49" s="61">
        <f>I48</f>
        <v>12.48089307023644</v>
      </c>
      <c r="J49" s="60" t="s">
        <v>101</v>
      </c>
      <c r="K49" s="61">
        <f>K48</f>
        <v>158.28596762908052</v>
      </c>
      <c r="L49" s="60" t="s">
        <v>102</v>
      </c>
      <c r="M49" s="61">
        <f>M48</f>
        <v>11.519999999999998</v>
      </c>
      <c r="N49" s="60" t="s">
        <v>101</v>
      </c>
      <c r="O49" s="61">
        <f>O48</f>
        <v>10</v>
      </c>
      <c r="P49" s="62" t="s">
        <v>103</v>
      </c>
      <c r="Q49" s="17"/>
      <c r="R49" s="60" t="s">
        <v>54</v>
      </c>
      <c r="S49" s="122">
        <f>F49*(I49*K49-M49*O49)/10^6</f>
        <v>0</v>
      </c>
      <c r="T49" s="122"/>
      <c r="U49" s="63" t="s">
        <v>93</v>
      </c>
    </row>
    <row r="50" spans="1:37" ht="11.25" customHeight="1">
      <c r="A50" s="3">
        <v>48</v>
      </c>
      <c r="B50" s="33"/>
      <c r="C50" s="40"/>
      <c r="D50" s="5" t="s">
        <v>99</v>
      </c>
      <c r="E50" s="5" t="s">
        <v>54</v>
      </c>
      <c r="F50" s="119">
        <f>L22</f>
        <v>1400</v>
      </c>
      <c r="G50" s="119"/>
      <c r="H50" s="38" t="s">
        <v>100</v>
      </c>
      <c r="I50" s="54">
        <f>L39</f>
        <v>12.48089307023644</v>
      </c>
      <c r="J50" s="38" t="s">
        <v>101</v>
      </c>
      <c r="K50" s="54">
        <f>tempconv(G12,J12,"℃")</f>
        <v>158.28596762908052</v>
      </c>
      <c r="L50" s="38" t="s">
        <v>102</v>
      </c>
      <c r="M50" s="54">
        <f>L41</f>
        <v>11.519999999999998</v>
      </c>
      <c r="N50" s="38" t="s">
        <v>101</v>
      </c>
      <c r="O50" s="54">
        <f>tempconv(G14,J14,"℃")</f>
        <v>10</v>
      </c>
      <c r="P50" s="55" t="s">
        <v>103</v>
      </c>
      <c r="Q50" s="5"/>
      <c r="R50" s="38" t="s">
        <v>54</v>
      </c>
      <c r="S50" s="126">
        <f>F50*(I50*K50-M50*O50)/10^6</f>
        <v>2.6044903310964447</v>
      </c>
      <c r="T50" s="126"/>
      <c r="U50" s="56" t="s">
        <v>93</v>
      </c>
      <c r="V50" s="132" t="s">
        <v>98</v>
      </c>
      <c r="W50" s="123" t="str">
        <f>H32</f>
        <v>N3</v>
      </c>
      <c r="X50" s="11" t="s">
        <v>211</v>
      </c>
      <c r="Y50" s="89">
        <f>H33</f>
        <v>-530</v>
      </c>
      <c r="Z50" s="36" t="s">
        <v>100</v>
      </c>
      <c r="AA50" s="57">
        <f>L39</f>
        <v>12.48089307023644</v>
      </c>
      <c r="AB50" s="36" t="s">
        <v>101</v>
      </c>
      <c r="AC50" s="57">
        <f>tempconv(G12,J12,"℃")</f>
        <v>158.28596762908052</v>
      </c>
      <c r="AD50" s="36" t="s">
        <v>102</v>
      </c>
      <c r="AE50" s="57">
        <f>L41</f>
        <v>11.519999999999998</v>
      </c>
      <c r="AF50" s="36" t="s">
        <v>101</v>
      </c>
      <c r="AG50" s="57">
        <f>tempconv(G14,J14,"℃")</f>
        <v>10</v>
      </c>
      <c r="AH50" s="58" t="s">
        <v>212</v>
      </c>
      <c r="AI50" s="11"/>
      <c r="AJ50" s="91">
        <f>Y50*(AA50*AC50-AE50*AG50)/10^6</f>
        <v>-0.9859856253436542</v>
      </c>
      <c r="AK50" s="59" t="s">
        <v>93</v>
      </c>
    </row>
    <row r="51" spans="1:37" ht="11.25" customHeight="1">
      <c r="A51" s="3">
        <v>49</v>
      </c>
      <c r="B51" s="175" t="s">
        <v>98</v>
      </c>
      <c r="C51" s="176" t="str">
        <f>L23</f>
        <v>N1</v>
      </c>
      <c r="D51" s="8" t="s">
        <v>104</v>
      </c>
      <c r="E51" s="8" t="s">
        <v>54</v>
      </c>
      <c r="F51" s="128">
        <f>M22</f>
        <v>2124</v>
      </c>
      <c r="G51" s="128"/>
      <c r="H51" s="64" t="s">
        <v>100</v>
      </c>
      <c r="I51" s="65">
        <f>I50</f>
        <v>12.48089307023644</v>
      </c>
      <c r="J51" s="64" t="s">
        <v>101</v>
      </c>
      <c r="K51" s="65">
        <f>K50</f>
        <v>158.28596762908052</v>
      </c>
      <c r="L51" s="64" t="s">
        <v>102</v>
      </c>
      <c r="M51" s="65">
        <f>M50</f>
        <v>11.519999999999998</v>
      </c>
      <c r="N51" s="64" t="s">
        <v>101</v>
      </c>
      <c r="O51" s="65">
        <f>O50</f>
        <v>10</v>
      </c>
      <c r="P51" s="66" t="s">
        <v>103</v>
      </c>
      <c r="Q51" s="8"/>
      <c r="R51" s="64" t="s">
        <v>54</v>
      </c>
      <c r="S51" s="127">
        <f>F51*(I51*K51-M51*O51)/10^6</f>
        <v>3.951383902320606</v>
      </c>
      <c r="T51" s="127"/>
      <c r="U51" s="67" t="s">
        <v>93</v>
      </c>
      <c r="V51" s="118"/>
      <c r="W51" s="124"/>
      <c r="X51" s="17" t="s">
        <v>213</v>
      </c>
      <c r="Y51" s="88">
        <f>I33</f>
        <v>-300</v>
      </c>
      <c r="Z51" s="60" t="s">
        <v>100</v>
      </c>
      <c r="AA51" s="61">
        <f>AA50</f>
        <v>12.48089307023644</v>
      </c>
      <c r="AB51" s="60" t="s">
        <v>101</v>
      </c>
      <c r="AC51" s="61">
        <f>AC50</f>
        <v>158.28596762908052</v>
      </c>
      <c r="AD51" s="60" t="s">
        <v>102</v>
      </c>
      <c r="AE51" s="61">
        <f>AE50</f>
        <v>11.519999999999998</v>
      </c>
      <c r="AF51" s="60" t="s">
        <v>101</v>
      </c>
      <c r="AG51" s="61">
        <f>AG50</f>
        <v>10</v>
      </c>
      <c r="AH51" s="62" t="s">
        <v>212</v>
      </c>
      <c r="AI51" s="17"/>
      <c r="AJ51" s="90">
        <f>Y51*(AA51*AC51-AE51*AG51)/10^6</f>
        <v>-0.5581050709492381</v>
      </c>
      <c r="AK51" s="63" t="s">
        <v>93</v>
      </c>
    </row>
    <row r="52" spans="1:21" ht="11.25" customHeight="1">
      <c r="A52" s="3">
        <v>50</v>
      </c>
      <c r="B52" s="175"/>
      <c r="C52" s="176"/>
      <c r="D52" s="11" t="s">
        <v>214</v>
      </c>
      <c r="E52" s="11" t="s">
        <v>54</v>
      </c>
      <c r="F52" s="131">
        <f>IF(J11="kg/cm2.g",PI()/4*((N23+2*O23)^2-N23^2)/100,"???")</f>
        <v>206.21414178163403</v>
      </c>
      <c r="G52" s="131"/>
      <c r="H52" s="11" t="s">
        <v>101</v>
      </c>
      <c r="I52" s="178">
        <f>L42</f>
        <v>1961459.4787739676</v>
      </c>
      <c r="J52" s="159"/>
      <c r="K52" s="11" t="s">
        <v>101</v>
      </c>
      <c r="L52" s="11" t="s">
        <v>215</v>
      </c>
      <c r="M52" s="11"/>
      <c r="N52" s="11"/>
      <c r="O52" s="11"/>
      <c r="P52" s="11" t="s">
        <v>216</v>
      </c>
      <c r="Q52" s="11"/>
      <c r="R52" s="36" t="s">
        <v>54</v>
      </c>
      <c r="S52" s="179">
        <f>-F52*I52*(I50*K50-M50*O50)/10^6</f>
        <v>-752475.7343796979</v>
      </c>
      <c r="T52" s="179"/>
      <c r="U52" s="15" t="str">
        <f>S46</f>
        <v>kg/cm2</v>
      </c>
    </row>
    <row r="53" spans="1:21" ht="11.25" customHeight="1">
      <c r="A53" s="3">
        <v>51</v>
      </c>
      <c r="B53" s="43"/>
      <c r="C53" s="23"/>
      <c r="D53" s="17" t="s">
        <v>217</v>
      </c>
      <c r="E53" s="17" t="s">
        <v>54</v>
      </c>
      <c r="F53" s="125">
        <f>F52</f>
        <v>206.21414178163403</v>
      </c>
      <c r="G53" s="125"/>
      <c r="H53" s="17" t="s">
        <v>101</v>
      </c>
      <c r="I53" s="180">
        <f>I52</f>
        <v>1961459.4787739676</v>
      </c>
      <c r="J53" s="181"/>
      <c r="K53" s="17" t="s">
        <v>101</v>
      </c>
      <c r="L53" s="17" t="s">
        <v>215</v>
      </c>
      <c r="M53" s="17"/>
      <c r="N53" s="17"/>
      <c r="O53" s="17"/>
      <c r="P53" s="17" t="s">
        <v>216</v>
      </c>
      <c r="Q53" s="17"/>
      <c r="R53" s="60" t="s">
        <v>54</v>
      </c>
      <c r="S53" s="182">
        <f>-F53*I53*(I51*K51-M51*O51)/10^6</f>
        <v>-752475.7343796979</v>
      </c>
      <c r="T53" s="182"/>
      <c r="U53" s="18" t="str">
        <f>U52</f>
        <v>kg/cm2</v>
      </c>
    </row>
    <row r="54" spans="1:37" ht="11.25" customHeight="1">
      <c r="A54" s="3">
        <v>52</v>
      </c>
      <c r="B54" s="33"/>
      <c r="C54" s="69"/>
      <c r="D54" s="11" t="s">
        <v>105</v>
      </c>
      <c r="E54" s="11" t="s">
        <v>54</v>
      </c>
      <c r="F54" s="131">
        <f>-G27</f>
        <v>-900</v>
      </c>
      <c r="G54" s="131"/>
      <c r="H54" s="36" t="s">
        <v>100</v>
      </c>
      <c r="I54" s="57">
        <f>L39</f>
        <v>12.48089307023644</v>
      </c>
      <c r="J54" s="36" t="s">
        <v>101</v>
      </c>
      <c r="K54" s="57">
        <f>tempconv(G12,J12,"℃")</f>
        <v>158.28596762908052</v>
      </c>
      <c r="L54" s="36" t="s">
        <v>102</v>
      </c>
      <c r="M54" s="57">
        <f>L41</f>
        <v>11.519999999999998</v>
      </c>
      <c r="N54" s="36" t="s">
        <v>101</v>
      </c>
      <c r="O54" s="57">
        <f>tempconv(G14,J14,"℃")</f>
        <v>10</v>
      </c>
      <c r="P54" s="58" t="s">
        <v>103</v>
      </c>
      <c r="Q54" s="11"/>
      <c r="R54" s="36" t="s">
        <v>54</v>
      </c>
      <c r="S54" s="135">
        <f>F54*(I54*K54-M54*O54)/10^6</f>
        <v>-1.6743152128477146</v>
      </c>
      <c r="T54" s="135"/>
      <c r="U54" s="59" t="s">
        <v>93</v>
      </c>
      <c r="V54" s="33"/>
      <c r="W54" s="69"/>
      <c r="X54" s="11" t="s">
        <v>218</v>
      </c>
      <c r="Y54" s="89">
        <f>F54</f>
        <v>-900</v>
      </c>
      <c r="Z54" s="36" t="s">
        <v>100</v>
      </c>
      <c r="AA54" s="57">
        <f>I54</f>
        <v>12.48089307023644</v>
      </c>
      <c r="AB54" s="36" t="s">
        <v>101</v>
      </c>
      <c r="AC54" s="57">
        <f>K54</f>
        <v>158.28596762908052</v>
      </c>
      <c r="AD54" s="36" t="s">
        <v>102</v>
      </c>
      <c r="AE54" s="57">
        <f>M54</f>
        <v>11.519999999999998</v>
      </c>
      <c r="AF54" s="36" t="s">
        <v>101</v>
      </c>
      <c r="AG54" s="57">
        <f>O54</f>
        <v>10</v>
      </c>
      <c r="AH54" s="58" t="s">
        <v>212</v>
      </c>
      <c r="AI54" s="11"/>
      <c r="AJ54" s="92">
        <f>Y54*(AA54*AC54-AE54*AG54)/10^6</f>
        <v>-1.6743152128477146</v>
      </c>
      <c r="AK54" s="59" t="s">
        <v>93</v>
      </c>
    </row>
    <row r="55" spans="1:37" ht="11.25" customHeight="1">
      <c r="A55" s="3">
        <v>53</v>
      </c>
      <c r="B55" s="41"/>
      <c r="C55" s="19"/>
      <c r="D55" s="7" t="s">
        <v>106</v>
      </c>
      <c r="E55" s="7" t="s">
        <v>54</v>
      </c>
      <c r="F55" s="120">
        <f>-F27</f>
        <v>-710</v>
      </c>
      <c r="G55" s="120"/>
      <c r="H55" s="32" t="s">
        <v>100</v>
      </c>
      <c r="I55" s="48">
        <f>Q40</f>
        <v>12.1356</v>
      </c>
      <c r="J55" s="32" t="s">
        <v>101</v>
      </c>
      <c r="K55" s="48">
        <f>Q12</f>
        <v>105</v>
      </c>
      <c r="L55" s="32" t="s">
        <v>102</v>
      </c>
      <c r="M55" s="48">
        <f>Q41</f>
        <v>11.519999999999998</v>
      </c>
      <c r="N55" s="32" t="s">
        <v>101</v>
      </c>
      <c r="O55" s="48">
        <f>tempconv(G14,J14,"℃")</f>
        <v>10</v>
      </c>
      <c r="P55" s="50" t="s">
        <v>103</v>
      </c>
      <c r="Q55" s="7"/>
      <c r="R55" s="32" t="s">
        <v>54</v>
      </c>
      <c r="S55" s="121">
        <f>F55*(I55*K55-M55*O55)/10^6</f>
        <v>-0.82291698</v>
      </c>
      <c r="T55" s="121"/>
      <c r="U55" s="49" t="s">
        <v>93</v>
      </c>
      <c r="V55" s="177" t="s">
        <v>98</v>
      </c>
      <c r="W55" s="130" t="str">
        <f>E32</f>
        <v>N4</v>
      </c>
      <c r="X55" s="7" t="s">
        <v>219</v>
      </c>
      <c r="Y55" s="96">
        <f>F55</f>
        <v>-710</v>
      </c>
      <c r="Z55" s="32" t="s">
        <v>100</v>
      </c>
      <c r="AA55" s="48">
        <f>Q39</f>
        <v>11.876399999999999</v>
      </c>
      <c r="AB55" s="32" t="s">
        <v>101</v>
      </c>
      <c r="AC55" s="48">
        <f>Q11</f>
        <v>65</v>
      </c>
      <c r="AD55" s="32" t="s">
        <v>102</v>
      </c>
      <c r="AE55" s="48">
        <f>M55</f>
        <v>11.519999999999998</v>
      </c>
      <c r="AF55" s="32" t="s">
        <v>101</v>
      </c>
      <c r="AG55" s="48">
        <f>O55</f>
        <v>10</v>
      </c>
      <c r="AH55" s="50" t="s">
        <v>212</v>
      </c>
      <c r="AI55" s="7"/>
      <c r="AJ55" s="93">
        <f>Y55*(AA55*AC55-AE55*AG55)/10^6</f>
        <v>-0.46630385999999996</v>
      </c>
      <c r="AK55" s="49" t="s">
        <v>93</v>
      </c>
    </row>
    <row r="56" spans="1:37" ht="11.25" customHeight="1">
      <c r="A56" s="3">
        <v>54</v>
      </c>
      <c r="B56" s="41"/>
      <c r="C56" s="19"/>
      <c r="D56" s="8" t="s">
        <v>99</v>
      </c>
      <c r="E56" s="8" t="s">
        <v>54</v>
      </c>
      <c r="F56" s="64" t="s">
        <v>105</v>
      </c>
      <c r="G56" s="64" t="s">
        <v>107</v>
      </c>
      <c r="H56" s="64" t="s">
        <v>106</v>
      </c>
      <c r="I56" s="8"/>
      <c r="J56" s="8"/>
      <c r="K56" s="8"/>
      <c r="L56" s="8"/>
      <c r="M56" s="8"/>
      <c r="N56" s="8"/>
      <c r="O56" s="8"/>
      <c r="P56" s="8"/>
      <c r="Q56" s="8"/>
      <c r="R56" s="64" t="s">
        <v>54</v>
      </c>
      <c r="S56" s="127">
        <f>S54+S55</f>
        <v>-2.4972321928477146</v>
      </c>
      <c r="T56" s="127"/>
      <c r="U56" s="67" t="s">
        <v>93</v>
      </c>
      <c r="V56" s="177"/>
      <c r="W56" s="130"/>
      <c r="X56" s="8" t="s">
        <v>211</v>
      </c>
      <c r="Y56" s="64" t="s">
        <v>105</v>
      </c>
      <c r="Z56" s="64" t="s">
        <v>107</v>
      </c>
      <c r="AA56" s="64" t="s">
        <v>106</v>
      </c>
      <c r="AB56" s="8"/>
      <c r="AC56" s="8"/>
      <c r="AD56" s="8"/>
      <c r="AE56" s="8"/>
      <c r="AF56" s="8"/>
      <c r="AG56" s="8"/>
      <c r="AH56" s="8"/>
      <c r="AI56" s="8"/>
      <c r="AJ56" s="90">
        <f>AJ54+AJ55</f>
        <v>-2.1406190728477146</v>
      </c>
      <c r="AK56" s="67" t="s">
        <v>93</v>
      </c>
    </row>
    <row r="57" spans="1:37" ht="11.25" customHeight="1">
      <c r="A57" s="3">
        <v>55</v>
      </c>
      <c r="B57" s="177" t="s">
        <v>98</v>
      </c>
      <c r="C57" s="130" t="str">
        <f>E23</f>
        <v>N5</v>
      </c>
      <c r="D57" s="11" t="s">
        <v>520</v>
      </c>
      <c r="E57" s="11" t="s">
        <v>54</v>
      </c>
      <c r="F57" s="131">
        <f>C26/2</f>
        <v>815</v>
      </c>
      <c r="G57" s="131"/>
      <c r="H57" s="36" t="s">
        <v>100</v>
      </c>
      <c r="I57" s="57">
        <f>AA57</f>
        <v>11.876399999999999</v>
      </c>
      <c r="J57" s="36" t="s">
        <v>101</v>
      </c>
      <c r="K57" s="57">
        <f>AC57</f>
        <v>65</v>
      </c>
      <c r="L57" s="36" t="s">
        <v>102</v>
      </c>
      <c r="M57" s="57">
        <f>M54</f>
        <v>11.519999999999998</v>
      </c>
      <c r="N57" s="36" t="s">
        <v>101</v>
      </c>
      <c r="O57" s="57">
        <f>O54</f>
        <v>10</v>
      </c>
      <c r="P57" s="58" t="s">
        <v>103</v>
      </c>
      <c r="Q57" s="11"/>
      <c r="R57" s="36" t="s">
        <v>54</v>
      </c>
      <c r="S57" s="135">
        <f>F57*(I57*K57-M57*O57)/10^6</f>
        <v>0.53526429</v>
      </c>
      <c r="T57" s="135"/>
      <c r="U57" s="59" t="s">
        <v>93</v>
      </c>
      <c r="V57" s="43"/>
      <c r="W57" s="23"/>
      <c r="X57" s="70" t="s">
        <v>213</v>
      </c>
      <c r="Y57" s="95">
        <f>-D31</f>
        <v>-300</v>
      </c>
      <c r="Z57" s="71" t="s">
        <v>100</v>
      </c>
      <c r="AA57" s="72">
        <f>AA55</f>
        <v>11.876399999999999</v>
      </c>
      <c r="AB57" s="71" t="s">
        <v>101</v>
      </c>
      <c r="AC57" s="72">
        <f>AC55</f>
        <v>65</v>
      </c>
      <c r="AD57" s="71" t="s">
        <v>102</v>
      </c>
      <c r="AE57" s="72">
        <f>AE55</f>
        <v>11.519999999999998</v>
      </c>
      <c r="AF57" s="71" t="s">
        <v>101</v>
      </c>
      <c r="AG57" s="72">
        <f>AG55</f>
        <v>10</v>
      </c>
      <c r="AH57" s="73" t="s">
        <v>212</v>
      </c>
      <c r="AI57" s="70"/>
      <c r="AJ57" s="94">
        <f>Y57*(AA57*AC57-AE57*AG57)/10^6</f>
        <v>-0.19702979999999998</v>
      </c>
      <c r="AK57" s="74" t="s">
        <v>93</v>
      </c>
    </row>
    <row r="58" spans="1:21" ht="11.25" customHeight="1">
      <c r="A58" s="3">
        <v>56</v>
      </c>
      <c r="B58" s="177"/>
      <c r="C58" s="130"/>
      <c r="D58" s="7" t="s">
        <v>521</v>
      </c>
      <c r="E58" s="7" t="s">
        <v>54</v>
      </c>
      <c r="F58" s="120">
        <f>C26/2+D24</f>
        <v>1115</v>
      </c>
      <c r="G58" s="120"/>
      <c r="H58" s="32" t="s">
        <v>100</v>
      </c>
      <c r="I58" s="48">
        <f>I55</f>
        <v>12.1356</v>
      </c>
      <c r="J58" s="32" t="s">
        <v>101</v>
      </c>
      <c r="K58" s="48">
        <f>K55</f>
        <v>105</v>
      </c>
      <c r="L58" s="32" t="s">
        <v>102</v>
      </c>
      <c r="M58" s="48">
        <f>M55</f>
        <v>11.519999999999998</v>
      </c>
      <c r="N58" s="32" t="s">
        <v>101</v>
      </c>
      <c r="O58" s="48">
        <f>O55</f>
        <v>10</v>
      </c>
      <c r="P58" s="50" t="s">
        <v>103</v>
      </c>
      <c r="Q58" s="7"/>
      <c r="R58" s="32" t="s">
        <v>54</v>
      </c>
      <c r="S58" s="121">
        <f>F58*(I58*K58-M58*O58)/10^6</f>
        <v>1.2923273700000002</v>
      </c>
      <c r="T58" s="121"/>
      <c r="U58" s="49" t="s">
        <v>93</v>
      </c>
    </row>
    <row r="59" spans="1:21" ht="11.25" customHeight="1">
      <c r="A59" s="3">
        <v>57</v>
      </c>
      <c r="B59" s="41"/>
      <c r="C59" s="19"/>
      <c r="D59" s="17" t="s">
        <v>104</v>
      </c>
      <c r="E59" s="17" t="s">
        <v>54</v>
      </c>
      <c r="F59" s="60" t="str">
        <f>D57</f>
        <v>Δzci</v>
      </c>
      <c r="G59" s="60" t="s">
        <v>107</v>
      </c>
      <c r="H59" s="60" t="str">
        <f>D58</f>
        <v>Δzco</v>
      </c>
      <c r="I59" s="17"/>
      <c r="J59" s="17"/>
      <c r="K59" s="17"/>
      <c r="L59" s="17"/>
      <c r="M59" s="17"/>
      <c r="N59" s="17"/>
      <c r="O59" s="17"/>
      <c r="P59" s="17"/>
      <c r="Q59" s="17"/>
      <c r="R59" s="60" t="s">
        <v>54</v>
      </c>
      <c r="S59" s="122">
        <f>S57+S58</f>
        <v>1.8275916600000002</v>
      </c>
      <c r="T59" s="122"/>
      <c r="U59" s="63" t="s">
        <v>93</v>
      </c>
    </row>
    <row r="60" spans="1:21" ht="11.25" customHeight="1">
      <c r="A60" s="3">
        <v>58</v>
      </c>
      <c r="B60" s="41"/>
      <c r="C60" s="19"/>
      <c r="D60" s="11" t="s">
        <v>214</v>
      </c>
      <c r="E60" s="11" t="s">
        <v>54</v>
      </c>
      <c r="F60" s="131">
        <f>IF(J11="kg/cm2.g",PI()/4*((G23+2*H23)^2-G23^2)/100,"???")</f>
        <v>256.35396053292715</v>
      </c>
      <c r="G60" s="131"/>
      <c r="H60" s="11" t="s">
        <v>101</v>
      </c>
      <c r="I60" s="178">
        <f>Q42</f>
        <v>1996366.071385393</v>
      </c>
      <c r="J60" s="159"/>
      <c r="K60" s="11" t="s">
        <v>101</v>
      </c>
      <c r="L60" s="11" t="s">
        <v>215</v>
      </c>
      <c r="M60" s="11"/>
      <c r="N60" s="11"/>
      <c r="O60" s="11"/>
      <c r="P60" s="11" t="s">
        <v>216</v>
      </c>
      <c r="Q60" s="11"/>
      <c r="R60" s="36" t="s">
        <v>54</v>
      </c>
      <c r="S60" s="179">
        <f>F60*I60*(I55*K55-M55*O55)/10^6</f>
        <v>593168.2360771104</v>
      </c>
      <c r="T60" s="179"/>
      <c r="U60" s="15" t="str">
        <f>S42</f>
        <v>kg/cm2</v>
      </c>
    </row>
    <row r="61" spans="1:21" ht="11.25" customHeight="1">
      <c r="A61" s="3">
        <v>59</v>
      </c>
      <c r="B61" s="43"/>
      <c r="C61" s="23"/>
      <c r="D61" s="17" t="s">
        <v>217</v>
      </c>
      <c r="E61" s="17" t="s">
        <v>54</v>
      </c>
      <c r="F61" s="125">
        <f>F60</f>
        <v>256.35396053292715</v>
      </c>
      <c r="G61" s="125"/>
      <c r="H61" s="17" t="s">
        <v>101</v>
      </c>
      <c r="I61" s="180">
        <f>I60</f>
        <v>1996366.071385393</v>
      </c>
      <c r="J61" s="181"/>
      <c r="K61" s="17" t="s">
        <v>101</v>
      </c>
      <c r="L61" s="17" t="s">
        <v>215</v>
      </c>
      <c r="M61" s="17"/>
      <c r="N61" s="17"/>
      <c r="O61" s="17"/>
      <c r="P61" s="17" t="s">
        <v>216</v>
      </c>
      <c r="Q61" s="17"/>
      <c r="R61" s="60" t="s">
        <v>54</v>
      </c>
      <c r="S61" s="182">
        <f>-F61*I61*(I58*K58-M58*O58)/10^6</f>
        <v>-593168.2360771104</v>
      </c>
      <c r="T61" s="182"/>
      <c r="U61" s="18" t="str">
        <f>U60</f>
        <v>kg/cm2</v>
      </c>
    </row>
    <row r="62" spans="1:21" ht="11.25" customHeight="1">
      <c r="A62" s="16">
        <v>60</v>
      </c>
      <c r="B62" s="14" t="s">
        <v>108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5"/>
    </row>
    <row r="63" spans="1:21" ht="11.25" customHeight="1">
      <c r="A63" s="3">
        <v>61</v>
      </c>
      <c r="B63" s="104" t="s">
        <v>109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</row>
    <row r="64" spans="1:21" ht="11.25" customHeight="1">
      <c r="A64" s="3">
        <v>62</v>
      </c>
      <c r="B64" s="105" t="s">
        <v>110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</row>
    <row r="65" spans="1:21" ht="11.25" customHeight="1">
      <c r="A65" s="3"/>
      <c r="B65" s="22" t="s">
        <v>536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09" t="s">
        <v>537</v>
      </c>
    </row>
  </sheetData>
  <mergeCells count="93">
    <mergeCell ref="B1:U2"/>
    <mergeCell ref="R3:U3"/>
    <mergeCell ref="R4:U4"/>
    <mergeCell ref="R5:U5"/>
    <mergeCell ref="R7:U7"/>
    <mergeCell ref="B8:U8"/>
    <mergeCell ref="B15:U15"/>
    <mergeCell ref="G11:I11"/>
    <mergeCell ref="G12:I12"/>
    <mergeCell ref="Q11:S11"/>
    <mergeCell ref="Q12:S12"/>
    <mergeCell ref="G14:I14"/>
    <mergeCell ref="G10:I10"/>
    <mergeCell ref="Q10:S10"/>
    <mergeCell ref="X11:Y11"/>
    <mergeCell ref="Z11:AC11"/>
    <mergeCell ref="B9:K9"/>
    <mergeCell ref="L9:U9"/>
    <mergeCell ref="X9:Y9"/>
    <mergeCell ref="Z9:AC9"/>
    <mergeCell ref="X10:Y10"/>
    <mergeCell ref="Z10:AC10"/>
    <mergeCell ref="B19:U19"/>
    <mergeCell ref="Q39:R39"/>
    <mergeCell ref="Q40:R40"/>
    <mergeCell ref="Q41:R41"/>
    <mergeCell ref="E23:F23"/>
    <mergeCell ref="P26:P29"/>
    <mergeCell ref="L23:M23"/>
    <mergeCell ref="R23:S23"/>
    <mergeCell ref="L32:M32"/>
    <mergeCell ref="L35:O35"/>
    <mergeCell ref="J25:L25"/>
    <mergeCell ref="J29:L29"/>
    <mergeCell ref="O26:O29"/>
    <mergeCell ref="H29:I29"/>
    <mergeCell ref="B26:B29"/>
    <mergeCell ref="C26:C29"/>
    <mergeCell ref="I38:M38"/>
    <mergeCell ref="E32:F32"/>
    <mergeCell ref="G27:I27"/>
    <mergeCell ref="B37:U37"/>
    <mergeCell ref="F49:G49"/>
    <mergeCell ref="S49:T49"/>
    <mergeCell ref="Q33:R33"/>
    <mergeCell ref="N38:R38"/>
    <mergeCell ref="S48:T48"/>
    <mergeCell ref="L39:M39"/>
    <mergeCell ref="L41:M41"/>
    <mergeCell ref="S50:T50"/>
    <mergeCell ref="S51:T51"/>
    <mergeCell ref="F51:G51"/>
    <mergeCell ref="F54:G54"/>
    <mergeCell ref="S54:T54"/>
    <mergeCell ref="W50:W51"/>
    <mergeCell ref="S59:T59"/>
    <mergeCell ref="S56:T56"/>
    <mergeCell ref="F52:G52"/>
    <mergeCell ref="I52:J52"/>
    <mergeCell ref="S52:T52"/>
    <mergeCell ref="F53:G53"/>
    <mergeCell ref="I53:J53"/>
    <mergeCell ref="S53:T53"/>
    <mergeCell ref="F55:G55"/>
    <mergeCell ref="V50:V51"/>
    <mergeCell ref="C51:C52"/>
    <mergeCell ref="B39:G40"/>
    <mergeCell ref="F48:G48"/>
    <mergeCell ref="B51:B52"/>
    <mergeCell ref="F50:G50"/>
    <mergeCell ref="B48:B49"/>
    <mergeCell ref="L42:M42"/>
    <mergeCell ref="Q42:R42"/>
    <mergeCell ref="C48:C49"/>
    <mergeCell ref="D20:E20"/>
    <mergeCell ref="F20:G20"/>
    <mergeCell ref="K20:L20"/>
    <mergeCell ref="M20:N20"/>
    <mergeCell ref="F60:G60"/>
    <mergeCell ref="I60:J60"/>
    <mergeCell ref="S60:T60"/>
    <mergeCell ref="F61:G61"/>
    <mergeCell ref="I61:J61"/>
    <mergeCell ref="S61:T61"/>
    <mergeCell ref="C57:C58"/>
    <mergeCell ref="B57:B58"/>
    <mergeCell ref="W55:W56"/>
    <mergeCell ref="V55:V56"/>
    <mergeCell ref="F57:G57"/>
    <mergeCell ref="S57:T57"/>
    <mergeCell ref="F58:G58"/>
    <mergeCell ref="S58:T58"/>
    <mergeCell ref="S55:T55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E70"/>
  <sheetViews>
    <sheetView zoomScaleSheetLayoutView="100" workbookViewId="0" topLeftCell="A1">
      <selection activeCell="O7" sqref="O7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65" t="s">
        <v>235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236</v>
      </c>
      <c r="C3" s="5"/>
      <c r="D3" s="5"/>
      <c r="E3" s="108" t="s">
        <v>315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237</v>
      </c>
      <c r="Q3" s="11"/>
      <c r="R3" s="171" t="s">
        <v>318</v>
      </c>
      <c r="S3" s="171"/>
      <c r="T3" s="171"/>
      <c r="U3" s="172"/>
    </row>
    <row r="4" spans="1:24" ht="11.25" customHeight="1">
      <c r="A4" s="3">
        <v>2</v>
      </c>
      <c r="B4" s="6" t="s">
        <v>238</v>
      </c>
      <c r="C4" s="7"/>
      <c r="D4" s="7"/>
      <c r="E4" s="20" t="s">
        <v>316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239</v>
      </c>
      <c r="Q4" s="7"/>
      <c r="R4" s="153" t="s">
        <v>240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241</v>
      </c>
      <c r="C5" s="7"/>
      <c r="D5" s="7"/>
      <c r="E5" s="20" t="s">
        <v>317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242</v>
      </c>
      <c r="Q5" s="7"/>
      <c r="R5" s="164" t="s">
        <v>534</v>
      </c>
      <c r="S5" s="164"/>
      <c r="T5" s="164"/>
      <c r="U5" s="173"/>
      <c r="X5" s="2" t="s">
        <v>224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243</v>
      </c>
      <c r="Q6" s="23"/>
      <c r="R6" s="24">
        <v>0</v>
      </c>
      <c r="S6" s="25"/>
      <c r="T6" s="25"/>
      <c r="U6" s="26"/>
      <c r="X6" s="111">
        <f>0.561-pressconv(1.033227,"kg/cm2.g",Y6)</f>
        <v>-0.4522495559549998</v>
      </c>
      <c r="Y6" s="2" t="s">
        <v>418</v>
      </c>
      <c r="AA6" s="3">
        <f>tempconv(fprop(X10,X11,0,J12,X6,Y6,"Yes",1,0,0),"℃",J12)</f>
        <v>84.21082736460374</v>
      </c>
      <c r="AB6" s="2" t="s">
        <v>244</v>
      </c>
    </row>
    <row r="7" spans="1:28" ht="11.25" customHeight="1">
      <c r="A7" s="3">
        <v>5</v>
      </c>
      <c r="B7" s="10" t="s">
        <v>245</v>
      </c>
      <c r="C7" s="11"/>
      <c r="D7" s="11"/>
      <c r="E7" s="39" t="s">
        <v>319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246</v>
      </c>
      <c r="Q7" s="11"/>
      <c r="R7" s="161" t="s">
        <v>320</v>
      </c>
      <c r="S7" s="161"/>
      <c r="T7" s="161"/>
      <c r="U7" s="162"/>
      <c r="X7" s="3">
        <f>IF(X5&lt;&gt;"S/H",AA6,AA7)</f>
        <v>84.21082736460374</v>
      </c>
      <c r="AA7" s="111">
        <v>250</v>
      </c>
      <c r="AB7" s="2" t="s">
        <v>247</v>
      </c>
    </row>
    <row r="8" spans="1:21" ht="11.25" customHeight="1">
      <c r="A8" s="3">
        <v>6</v>
      </c>
      <c r="B8" s="145" t="s">
        <v>248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31" ht="11.25" customHeight="1">
      <c r="A9" s="3">
        <v>7</v>
      </c>
      <c r="B9" s="140" t="s">
        <v>249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250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249</v>
      </c>
      <c r="Y9" s="157"/>
      <c r="Z9" s="157"/>
      <c r="AA9" s="157"/>
      <c r="AB9" s="156" t="s">
        <v>250</v>
      </c>
      <c r="AC9" s="157"/>
      <c r="AD9" s="157"/>
      <c r="AE9" s="157"/>
    </row>
    <row r="10" spans="1:31" ht="11.25" customHeight="1">
      <c r="A10" s="3">
        <v>8</v>
      </c>
      <c r="B10" s="10" t="s">
        <v>251</v>
      </c>
      <c r="C10" s="11"/>
      <c r="D10" s="11"/>
      <c r="E10" s="11"/>
      <c r="F10" s="11"/>
      <c r="G10" s="161" t="s">
        <v>252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417</v>
      </c>
      <c r="R10" s="161"/>
      <c r="S10" s="161"/>
      <c r="T10" s="11"/>
      <c r="U10" s="15"/>
      <c r="V10" s="10" t="s">
        <v>253</v>
      </c>
      <c r="W10" s="15"/>
      <c r="X10" s="158" t="s">
        <v>20</v>
      </c>
      <c r="Y10" s="159"/>
      <c r="Z10" s="159"/>
      <c r="AA10" s="160"/>
      <c r="AB10" s="158"/>
      <c r="AC10" s="159"/>
      <c r="AD10" s="159"/>
      <c r="AE10" s="159"/>
    </row>
    <row r="11" spans="1:31" ht="11.25" customHeight="1">
      <c r="A11" s="3">
        <v>9</v>
      </c>
      <c r="B11" s="6" t="s">
        <v>254</v>
      </c>
      <c r="C11" s="7"/>
      <c r="D11" s="7"/>
      <c r="E11" s="7"/>
      <c r="F11" s="7"/>
      <c r="G11" s="32">
        <f>X6</f>
        <v>-0.4522495559549998</v>
      </c>
      <c r="H11" s="32" t="s">
        <v>419</v>
      </c>
      <c r="I11" s="32">
        <f>G11+pressconv(1.033227,"kg/cm2.g",Y6)</f>
        <v>0.561</v>
      </c>
      <c r="J11" s="7" t="str">
        <f>Y6</f>
        <v>bar.g</v>
      </c>
      <c r="K11" s="7" t="str">
        <f>"/ "&amp;upsa(Y6)</f>
        <v>/ bar.a</v>
      </c>
      <c r="L11" s="6" t="s">
        <v>255</v>
      </c>
      <c r="M11" s="7"/>
      <c r="N11" s="7"/>
      <c r="O11" s="28" t="s">
        <v>256</v>
      </c>
      <c r="P11" s="7" t="s">
        <v>257</v>
      </c>
      <c r="Q11" s="164">
        <v>41.36</v>
      </c>
      <c r="R11" s="164"/>
      <c r="S11" s="164"/>
      <c r="T11" s="7" t="str">
        <f>J12</f>
        <v>℃</v>
      </c>
      <c r="U11" s="1"/>
      <c r="V11" s="6" t="s">
        <v>258</v>
      </c>
      <c r="W11" s="1"/>
      <c r="X11" s="152" t="s">
        <v>21</v>
      </c>
      <c r="Y11" s="153"/>
      <c r="Z11" s="153"/>
      <c r="AA11" s="154"/>
      <c r="AB11" s="152"/>
      <c r="AC11" s="153"/>
      <c r="AD11" s="153"/>
      <c r="AE11" s="153"/>
    </row>
    <row r="12" spans="1:21" ht="11.25" customHeight="1">
      <c r="A12" s="3">
        <v>10</v>
      </c>
      <c r="B12" s="6" t="s">
        <v>255</v>
      </c>
      <c r="C12" s="7"/>
      <c r="D12" s="7"/>
      <c r="E12" s="28" t="s">
        <v>256</v>
      </c>
      <c r="F12" s="7" t="s">
        <v>257</v>
      </c>
      <c r="G12" s="163">
        <f>X7</f>
        <v>84.21082736460374</v>
      </c>
      <c r="H12" s="163"/>
      <c r="I12" s="163"/>
      <c r="J12" s="7" t="s">
        <v>19</v>
      </c>
      <c r="K12" s="7"/>
      <c r="L12" s="6" t="s">
        <v>259</v>
      </c>
      <c r="M12" s="7"/>
      <c r="N12" s="7"/>
      <c r="O12" s="28" t="s">
        <v>260</v>
      </c>
      <c r="P12" s="7" t="s">
        <v>257</v>
      </c>
      <c r="Q12" s="164">
        <v>81.22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261</v>
      </c>
      <c r="C13" s="7"/>
      <c r="D13" s="7"/>
      <c r="E13" s="7"/>
      <c r="F13" s="7"/>
      <c r="G13" s="2" t="s">
        <v>24</v>
      </c>
      <c r="H13" s="7"/>
      <c r="I13" s="7"/>
      <c r="J13" s="7"/>
      <c r="K13" s="7"/>
      <c r="L13" s="6" t="s">
        <v>262</v>
      </c>
      <c r="M13" s="7"/>
      <c r="N13" s="7"/>
      <c r="O13" s="7"/>
      <c r="P13" s="7"/>
      <c r="Q13" s="2" t="s">
        <v>24</v>
      </c>
      <c r="R13" s="7"/>
      <c r="S13" s="7"/>
      <c r="T13" s="7"/>
      <c r="U13" s="1"/>
      <c r="V13" s="2" t="s">
        <v>263</v>
      </c>
      <c r="X13" s="2" t="s">
        <v>22</v>
      </c>
    </row>
    <row r="14" spans="1:28" ht="11.25" customHeight="1">
      <c r="A14" s="3">
        <v>12</v>
      </c>
      <c r="B14" s="10" t="s">
        <v>264</v>
      </c>
      <c r="C14" s="11"/>
      <c r="D14" s="11"/>
      <c r="E14" s="30" t="s">
        <v>265</v>
      </c>
      <c r="F14" s="11" t="s">
        <v>257</v>
      </c>
      <c r="G14" s="161">
        <v>10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AB14" s="2" t="s">
        <v>23</v>
      </c>
    </row>
    <row r="15" spans="1:21" ht="11.25" customHeight="1">
      <c r="A15" s="3">
        <v>13</v>
      </c>
      <c r="B15" s="145" t="s">
        <v>266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267</v>
      </c>
      <c r="C16" s="5" t="s">
        <v>268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269</v>
      </c>
      <c r="C17" s="7" t="s">
        <v>270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271</v>
      </c>
      <c r="C18" s="7" t="s">
        <v>272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273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40"/>
      <c r="D20" s="85" t="s">
        <v>274</v>
      </c>
      <c r="E20" s="87">
        <f>S60</f>
        <v>-5.277543821536074</v>
      </c>
      <c r="F20" s="87">
        <f>S63</f>
        <v>0.70505356187448</v>
      </c>
      <c r="G20" s="40" t="s">
        <v>275</v>
      </c>
      <c r="H20" s="40"/>
      <c r="I20" s="40"/>
      <c r="J20" s="85" t="s">
        <v>274</v>
      </c>
      <c r="K20" s="87">
        <f>S44</f>
        <v>-1.880349560782145</v>
      </c>
      <c r="L20" s="87">
        <f>S45</f>
        <v>1.0386692811939469</v>
      </c>
      <c r="M20" s="40" t="s">
        <v>275</v>
      </c>
      <c r="N20" s="85" t="s">
        <v>274</v>
      </c>
      <c r="O20" s="87">
        <f>IF(N22="***","***",S46)</f>
        <v>1.880349560782145</v>
      </c>
      <c r="P20" s="87">
        <f>IF(N22="***","***",S47)</f>
        <v>1.0386692811939469</v>
      </c>
      <c r="Q20" s="40" t="s">
        <v>275</v>
      </c>
      <c r="R20" s="85" t="str">
        <f>IF(S22="***","***","Δ (")</f>
        <v>Δ (</v>
      </c>
      <c r="S20" s="87">
        <f>IF(S22="***","***",S48)</f>
        <v>5.689400528195119</v>
      </c>
      <c r="T20" s="87">
        <f>IF(S22="***","***",S49)</f>
        <v>1.0386692811939469</v>
      </c>
      <c r="U20" s="34" t="str">
        <f>IF(S22="***","***",")")</f>
        <v>)</v>
      </c>
    </row>
    <row r="21" spans="1:21" ht="11.25" customHeight="1">
      <c r="A21" s="3">
        <v>19</v>
      </c>
      <c r="B21" s="41"/>
      <c r="C21" s="19"/>
      <c r="D21" s="31" t="str">
        <f>E22&amp;" ("</f>
        <v>B (</v>
      </c>
      <c r="E21" s="47">
        <f>-(F26+G26)</f>
        <v>-5906</v>
      </c>
      <c r="F21" s="47">
        <f>Q25/2+C25/2+D23</f>
        <v>1124.5</v>
      </c>
      <c r="G21" s="19" t="s">
        <v>275</v>
      </c>
      <c r="H21" s="19"/>
      <c r="I21" s="19"/>
      <c r="J21" s="31" t="str">
        <f>K22&amp;" ("</f>
        <v>C2 (</v>
      </c>
      <c r="K21" s="47">
        <f>J24</f>
        <v>-2100</v>
      </c>
      <c r="L21" s="47">
        <f>Q25+M23</f>
        <v>1160</v>
      </c>
      <c r="M21" s="19" t="s">
        <v>275</v>
      </c>
      <c r="N21" s="31" t="str">
        <f>N22&amp;" ("</f>
        <v>C1 (</v>
      </c>
      <c r="O21" s="47">
        <f>IF(N22="***","***",J24+M24)</f>
        <v>2100</v>
      </c>
      <c r="P21" s="47">
        <f>IF(N22="***","***",L21)</f>
        <v>1160</v>
      </c>
      <c r="Q21" s="19" t="s">
        <v>275</v>
      </c>
      <c r="R21" s="31" t="str">
        <f>IF(S22="***","***",S22&amp;" (")</f>
        <v>D (</v>
      </c>
      <c r="S21" s="47">
        <f>IF(S22="***","***",N31+S24)</f>
        <v>6354</v>
      </c>
      <c r="T21" s="47">
        <f>IF(S22="***","***",Q25+U23)</f>
        <v>1160</v>
      </c>
      <c r="U21" s="42" t="str">
        <f>IF(S22="***","***",")")</f>
        <v>)</v>
      </c>
    </row>
    <row r="22" spans="1:21" ht="11.25" customHeight="1">
      <c r="A22" s="3">
        <v>20</v>
      </c>
      <c r="B22" s="41"/>
      <c r="C22" s="19"/>
      <c r="D22" s="19"/>
      <c r="E22" s="143" t="s">
        <v>322</v>
      </c>
      <c r="F22" s="143"/>
      <c r="G22" s="19"/>
      <c r="H22" s="19"/>
      <c r="I22" s="19"/>
      <c r="J22" s="19"/>
      <c r="K22" s="143" t="s">
        <v>326</v>
      </c>
      <c r="L22" s="143"/>
      <c r="M22" s="113"/>
      <c r="N22" s="143" t="s">
        <v>327</v>
      </c>
      <c r="O22" s="143"/>
      <c r="P22" s="19"/>
      <c r="Q22" s="19"/>
      <c r="R22" s="19"/>
      <c r="S22" s="143" t="s">
        <v>324</v>
      </c>
      <c r="T22" s="143"/>
      <c r="U22" s="42"/>
    </row>
    <row r="23" spans="1:21" ht="11.25" customHeight="1">
      <c r="A23" s="3">
        <v>21</v>
      </c>
      <c r="B23" s="106">
        <v>25</v>
      </c>
      <c r="C23" s="19" t="s">
        <v>276</v>
      </c>
      <c r="D23" s="82">
        <v>150</v>
      </c>
      <c r="E23" s="19"/>
      <c r="F23" s="19"/>
      <c r="G23" s="19"/>
      <c r="H23" s="19"/>
      <c r="I23" s="19"/>
      <c r="J23" s="19"/>
      <c r="K23" s="19"/>
      <c r="L23" s="19"/>
      <c r="M23" s="82">
        <v>150</v>
      </c>
      <c r="O23" s="19"/>
      <c r="P23" s="82">
        <v>10</v>
      </c>
      <c r="Q23" s="46" t="s">
        <v>276</v>
      </c>
      <c r="R23" s="19"/>
      <c r="S23" s="19"/>
      <c r="T23" s="19"/>
      <c r="U23" s="114">
        <v>150</v>
      </c>
    </row>
    <row r="24" spans="1:21" ht="11.25" customHeight="1">
      <c r="A24" s="3">
        <v>22</v>
      </c>
      <c r="B24" s="80" t="s">
        <v>277</v>
      </c>
      <c r="C24" s="81" t="s">
        <v>278</v>
      </c>
      <c r="D24" s="19"/>
      <c r="E24" s="19"/>
      <c r="F24" s="19"/>
      <c r="G24" s="19"/>
      <c r="H24" s="19"/>
      <c r="I24" s="19"/>
      <c r="J24" s="144">
        <v>-2100</v>
      </c>
      <c r="K24" s="144"/>
      <c r="L24" s="112"/>
      <c r="M24" s="144">
        <v>4200</v>
      </c>
      <c r="N24" s="144"/>
      <c r="O24" s="19"/>
      <c r="P24" s="81" t="s">
        <v>277</v>
      </c>
      <c r="Q24" s="81" t="s">
        <v>278</v>
      </c>
      <c r="R24" s="19"/>
      <c r="S24" s="82">
        <v>600</v>
      </c>
      <c r="T24" s="19"/>
      <c r="U24" s="42"/>
    </row>
    <row r="25" spans="1:21" ht="11.25" customHeight="1">
      <c r="A25" s="3">
        <v>23</v>
      </c>
      <c r="B25" s="148">
        <v>889</v>
      </c>
      <c r="C25" s="149">
        <f>B25+2*B23</f>
        <v>939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51">
        <v>990</v>
      </c>
      <c r="Q25" s="149">
        <f>P25+2*P23</f>
        <v>1010</v>
      </c>
      <c r="R25" s="19"/>
      <c r="S25" s="19"/>
      <c r="T25" s="19"/>
      <c r="U25" s="42"/>
    </row>
    <row r="26" spans="1:21" ht="11.25" customHeight="1">
      <c r="A26" s="3">
        <v>24</v>
      </c>
      <c r="B26" s="148"/>
      <c r="C26" s="149"/>
      <c r="D26" s="19"/>
      <c r="E26" s="19"/>
      <c r="F26" s="82">
        <v>286</v>
      </c>
      <c r="G26" s="144">
        <f>3520+4200/2</f>
        <v>5620</v>
      </c>
      <c r="H26" s="144"/>
      <c r="I26" s="144"/>
      <c r="J26" s="19"/>
      <c r="K26" s="19"/>
      <c r="L26" s="19"/>
      <c r="M26" s="19"/>
      <c r="N26" s="19"/>
      <c r="O26" s="19"/>
      <c r="P26" s="151"/>
      <c r="Q26" s="149"/>
      <c r="R26" s="19"/>
      <c r="S26" s="19"/>
      <c r="T26" s="19"/>
      <c r="U26" s="42"/>
    </row>
    <row r="27" spans="1:21" ht="11.25" customHeight="1">
      <c r="A27" s="3">
        <v>25</v>
      </c>
      <c r="B27" s="148"/>
      <c r="C27" s="14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51"/>
      <c r="Q27" s="149"/>
      <c r="R27" s="19"/>
      <c r="S27" s="19"/>
      <c r="T27" s="19"/>
      <c r="U27" s="42"/>
    </row>
    <row r="28" spans="1:21" ht="11.25" customHeight="1">
      <c r="A28" s="3">
        <v>26</v>
      </c>
      <c r="B28" s="148"/>
      <c r="C28" s="149"/>
      <c r="D28" s="19"/>
      <c r="E28" s="19"/>
      <c r="F28" s="19"/>
      <c r="G28" s="19"/>
      <c r="H28" s="144">
        <f>G26-250</f>
        <v>5370</v>
      </c>
      <c r="I28" s="143"/>
      <c r="J28" s="174"/>
      <c r="K28" s="174"/>
      <c r="L28" s="174"/>
      <c r="M28" s="19"/>
      <c r="N28" s="19"/>
      <c r="O28" s="19"/>
      <c r="P28" s="151"/>
      <c r="Q28" s="149"/>
      <c r="R28" s="19"/>
      <c r="S28" s="19"/>
      <c r="T28" s="19"/>
      <c r="U28" s="42"/>
    </row>
    <row r="29" spans="1:21" ht="11.25" customHeight="1">
      <c r="A29" s="3">
        <v>27</v>
      </c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C30" s="19"/>
      <c r="D30" s="82">
        <v>150</v>
      </c>
      <c r="E30" s="19"/>
      <c r="F30" s="19"/>
      <c r="G30" s="110">
        <v>150</v>
      </c>
      <c r="H30" s="19"/>
      <c r="I30" s="19"/>
      <c r="J30" s="19"/>
      <c r="K30" s="19"/>
      <c r="L30" s="19"/>
      <c r="M30" s="19"/>
      <c r="N30" s="51"/>
      <c r="O30" s="19"/>
      <c r="P30" s="19"/>
      <c r="Q30" s="19"/>
      <c r="R30" s="19"/>
      <c r="S30" s="19"/>
      <c r="T30" s="82">
        <v>150</v>
      </c>
      <c r="U30" s="42"/>
    </row>
    <row r="31" spans="1:21" ht="11.25" customHeight="1">
      <c r="A31" s="3">
        <v>29</v>
      </c>
      <c r="B31" s="41"/>
      <c r="C31" s="19"/>
      <c r="D31" s="19"/>
      <c r="E31" s="143" t="s">
        <v>321</v>
      </c>
      <c r="F31" s="143"/>
      <c r="G31" s="19"/>
      <c r="H31" s="22" t="s">
        <v>323</v>
      </c>
      <c r="I31" s="19"/>
      <c r="J31" s="19"/>
      <c r="K31" s="19"/>
      <c r="L31" s="19"/>
      <c r="M31" s="19"/>
      <c r="N31" s="144">
        <f>2100+2304+750+400+200</f>
        <v>5754</v>
      </c>
      <c r="O31" s="144"/>
      <c r="P31" s="19"/>
      <c r="Q31" s="19"/>
      <c r="R31" s="143" t="s">
        <v>325</v>
      </c>
      <c r="S31" s="143"/>
      <c r="T31" s="19"/>
      <c r="U31" s="42"/>
    </row>
    <row r="32" spans="1:21" ht="11.25" customHeight="1">
      <c r="A32" s="3">
        <v>30</v>
      </c>
      <c r="B32" s="41"/>
      <c r="C32" s="19"/>
      <c r="D32" s="31" t="str">
        <f>E31&amp;" ("</f>
        <v>A (</v>
      </c>
      <c r="E32" s="47">
        <f>E21</f>
        <v>-5906</v>
      </c>
      <c r="F32" s="47">
        <f>Q25/2-(C25/2+D30)</f>
        <v>-114.5</v>
      </c>
      <c r="G32" s="31" t="str">
        <f>")  "&amp;H31&amp;" ("</f>
        <v>)  E (</v>
      </c>
      <c r="H32" s="47">
        <f>-H28</f>
        <v>-5370</v>
      </c>
      <c r="I32" s="47">
        <f>-G30</f>
        <v>-150</v>
      </c>
      <c r="J32" s="19" t="s">
        <v>275</v>
      </c>
      <c r="K32" s="31"/>
      <c r="L32" s="47"/>
      <c r="M32" s="47"/>
      <c r="N32" s="19"/>
      <c r="O32" s="19"/>
      <c r="P32" s="19"/>
      <c r="Q32" s="31" t="str">
        <f>R31&amp;" ("</f>
        <v>F (</v>
      </c>
      <c r="R32" s="53">
        <f>IF(R31="***","***",N31)</f>
        <v>5754</v>
      </c>
      <c r="S32" s="47">
        <f>IF(R31="***","***",-T30)</f>
        <v>-150</v>
      </c>
      <c r="T32" s="19" t="s">
        <v>275</v>
      </c>
      <c r="U32" s="42"/>
    </row>
    <row r="33" spans="1:21" ht="11.25" customHeight="1">
      <c r="A33" s="3">
        <v>31</v>
      </c>
      <c r="B33" s="84"/>
      <c r="C33" s="19"/>
      <c r="D33" s="31" t="s">
        <v>274</v>
      </c>
      <c r="E33" s="86">
        <f>S56</f>
        <v>-5.13789980175681</v>
      </c>
      <c r="F33" s="86">
        <f>S57</f>
        <v>-0.05545081221119999</v>
      </c>
      <c r="G33" s="19" t="s">
        <v>279</v>
      </c>
      <c r="H33" s="86">
        <f>S52</f>
        <v>-4.808322448285771</v>
      </c>
      <c r="I33" s="86">
        <f>S53</f>
        <v>-0.13431068291301035</v>
      </c>
      <c r="J33" s="19" t="s">
        <v>275</v>
      </c>
      <c r="K33" s="19"/>
      <c r="L33" s="19"/>
      <c r="M33" s="19"/>
      <c r="N33" s="19"/>
      <c r="O33" s="19"/>
      <c r="P33" s="19"/>
      <c r="Q33" s="31" t="s">
        <v>274</v>
      </c>
      <c r="R33" s="86">
        <f>IF(R31="***","***",S50)</f>
        <v>5.152157796543078</v>
      </c>
      <c r="S33" s="86">
        <f>IF(R31="***","***",S51)</f>
        <v>-0.13431068291301035</v>
      </c>
      <c r="T33" s="19" t="s">
        <v>275</v>
      </c>
      <c r="U33" s="42"/>
    </row>
    <row r="34" spans="1:21" ht="11.25" customHeight="1">
      <c r="A34" s="3">
        <v>32</v>
      </c>
      <c r="B34" s="41"/>
      <c r="C34" s="19"/>
      <c r="D34" s="19"/>
      <c r="E34" s="19"/>
      <c r="F34" s="19"/>
      <c r="G34" s="19"/>
      <c r="H34" s="19"/>
      <c r="I34" s="19"/>
      <c r="J34" s="19"/>
      <c r="K34" s="19"/>
      <c r="N34" s="112"/>
      <c r="O34" s="19"/>
      <c r="P34" s="112"/>
      <c r="Q34" s="19"/>
      <c r="R34" s="19"/>
      <c r="S34" s="19"/>
      <c r="T34" s="19"/>
      <c r="U34" s="42"/>
    </row>
    <row r="35" spans="1:21" ht="11.25" customHeight="1">
      <c r="A35" s="3">
        <v>33</v>
      </c>
      <c r="B35" s="4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4"/>
    </row>
    <row r="36" spans="1:21" ht="11.25" customHeight="1">
      <c r="A36" s="3">
        <v>34</v>
      </c>
      <c r="B36" s="145" t="s">
        <v>280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ht="11.25" customHeight="1">
      <c r="A37" s="3">
        <v>35</v>
      </c>
      <c r="B37" s="33"/>
      <c r="C37" s="40"/>
      <c r="D37" s="40"/>
      <c r="E37" s="40"/>
      <c r="F37" s="40"/>
      <c r="G37" s="40"/>
      <c r="H37" s="11"/>
      <c r="I37" s="139" t="str">
        <f>B13</f>
        <v> Shell Material</v>
      </c>
      <c r="J37" s="139"/>
      <c r="K37" s="139"/>
      <c r="L37" s="139"/>
      <c r="M37" s="139"/>
      <c r="N37" s="140" t="str">
        <f>L13</f>
        <v> Channel Material</v>
      </c>
      <c r="O37" s="139"/>
      <c r="P37" s="139"/>
      <c r="Q37" s="139"/>
      <c r="R37" s="139"/>
      <c r="S37" s="11"/>
      <c r="T37" s="11"/>
      <c r="U37" s="15"/>
    </row>
    <row r="38" spans="1:21" ht="11.25" customHeight="1">
      <c r="A38" s="3">
        <v>36</v>
      </c>
      <c r="B38" s="129" t="s">
        <v>281</v>
      </c>
      <c r="C38" s="130"/>
      <c r="D38" s="130"/>
      <c r="E38" s="130"/>
      <c r="F38" s="130"/>
      <c r="G38" s="130"/>
      <c r="H38" s="28" t="s">
        <v>282</v>
      </c>
      <c r="I38" s="36" t="s">
        <v>283</v>
      </c>
      <c r="J38" s="11" t="s">
        <v>284</v>
      </c>
      <c r="K38" s="11"/>
      <c r="L38" s="137">
        <f>alphaTEMA(mindex(G13,40),G12,J12)</f>
        <v>12.000886161322633</v>
      </c>
      <c r="M38" s="137"/>
      <c r="N38" s="35" t="s">
        <v>283</v>
      </c>
      <c r="O38" s="11" t="s">
        <v>285</v>
      </c>
      <c r="P38" s="11"/>
      <c r="Q38" s="137">
        <f>alphaTEMA(mindex(Q13,40),Q11,T11)</f>
        <v>11.723212799999999</v>
      </c>
      <c r="R38" s="137"/>
      <c r="S38" s="7" t="s">
        <v>286</v>
      </c>
      <c r="T38" s="7"/>
      <c r="U38" s="1"/>
    </row>
    <row r="39" spans="1:21" ht="11.25" customHeight="1">
      <c r="A39" s="3">
        <v>37</v>
      </c>
      <c r="B39" s="129"/>
      <c r="C39" s="130"/>
      <c r="D39" s="130"/>
      <c r="E39" s="130"/>
      <c r="F39" s="130"/>
      <c r="G39" s="130"/>
      <c r="H39" s="7"/>
      <c r="I39" s="7"/>
      <c r="J39" s="7"/>
      <c r="K39" s="7"/>
      <c r="L39" s="7"/>
      <c r="M39" s="7"/>
      <c r="N39" s="37" t="s">
        <v>283</v>
      </c>
      <c r="O39" s="7" t="s">
        <v>287</v>
      </c>
      <c r="P39" s="7"/>
      <c r="Q39" s="141">
        <f>alphaTEMA(mindex(Q13,40),Q12,T12)</f>
        <v>11.9815056</v>
      </c>
      <c r="R39" s="141"/>
      <c r="S39" s="7" t="str">
        <f>S38</f>
        <v>mm / mm ℃ / 10^6</v>
      </c>
      <c r="T39" s="7"/>
      <c r="U39" s="1"/>
    </row>
    <row r="40" spans="1:21" ht="11.25" customHeight="1">
      <c r="A40" s="3">
        <v>38</v>
      </c>
      <c r="B40" s="43"/>
      <c r="C40" s="23"/>
      <c r="D40" s="23"/>
      <c r="E40" s="23"/>
      <c r="F40" s="23"/>
      <c r="G40" s="23"/>
      <c r="H40" s="29" t="s">
        <v>288</v>
      </c>
      <c r="I40" s="64" t="s">
        <v>283</v>
      </c>
      <c r="J40" s="8" t="s">
        <v>289</v>
      </c>
      <c r="K40" s="8"/>
      <c r="L40" s="138">
        <f>alphaTEMA(mindex(G13,40),G14,J14)</f>
        <v>11.519999999999998</v>
      </c>
      <c r="M40" s="138"/>
      <c r="N40" s="68" t="s">
        <v>283</v>
      </c>
      <c r="O40" s="17" t="str">
        <f>J40</f>
        <v>Ambient Temp.</v>
      </c>
      <c r="P40" s="17"/>
      <c r="Q40" s="142">
        <f>alphaTEMA(mindex(Q13,40),G14,J14)</f>
        <v>11.519999999999998</v>
      </c>
      <c r="R40" s="142"/>
      <c r="S40" s="8" t="str">
        <f>S38</f>
        <v>mm / mm ℃ / 10^6</v>
      </c>
      <c r="T40" s="8"/>
      <c r="U40" s="12"/>
    </row>
    <row r="41" spans="1:21" ht="11.25" customHeight="1">
      <c r="A41" s="3">
        <v>39</v>
      </c>
      <c r="B41" s="77" t="s">
        <v>290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</row>
    <row r="42" spans="1:21" ht="11.25" customHeight="1">
      <c r="A42" s="3">
        <v>40</v>
      </c>
      <c r="B42" s="41"/>
      <c r="C42" s="45" t="s">
        <v>291</v>
      </c>
      <c r="D42" s="19" t="s">
        <v>257</v>
      </c>
      <c r="E42" s="19" t="s">
        <v>292</v>
      </c>
      <c r="F42" s="19"/>
      <c r="G42" s="19"/>
      <c r="H42" s="19"/>
      <c r="I42" s="19"/>
      <c r="J42" s="19"/>
      <c r="K42" s="31" t="s">
        <v>293</v>
      </c>
      <c r="L42" s="45" t="s">
        <v>294</v>
      </c>
      <c r="M42" s="19" t="s">
        <v>295</v>
      </c>
      <c r="N42" s="19"/>
      <c r="O42" s="19" t="s">
        <v>296</v>
      </c>
      <c r="P42" s="78" t="s">
        <v>297</v>
      </c>
      <c r="Q42" s="19" t="s">
        <v>298</v>
      </c>
      <c r="R42" s="19"/>
      <c r="S42" s="19"/>
      <c r="T42" s="19"/>
      <c r="U42" s="79" t="s">
        <v>299</v>
      </c>
    </row>
    <row r="43" spans="1:21" ht="11.25" customHeight="1">
      <c r="A43" s="3">
        <v>41</v>
      </c>
      <c r="B43" s="43"/>
      <c r="C43" s="23"/>
      <c r="D43" s="23"/>
      <c r="E43" s="23"/>
      <c r="F43" s="23"/>
      <c r="G43" s="23"/>
      <c r="H43" s="23"/>
      <c r="I43" s="23"/>
      <c r="J43" s="23"/>
      <c r="K43" s="23"/>
      <c r="L43" s="102" t="s">
        <v>291</v>
      </c>
      <c r="M43" s="23" t="s">
        <v>300</v>
      </c>
      <c r="N43" s="23"/>
      <c r="O43" s="23" t="s">
        <v>296</v>
      </c>
      <c r="P43" s="23"/>
      <c r="Q43" s="23"/>
      <c r="R43" s="23"/>
      <c r="S43" s="23"/>
      <c r="T43" s="23"/>
      <c r="U43" s="44"/>
    </row>
    <row r="44" spans="1:21" ht="11.25" customHeight="1">
      <c r="A44" s="3">
        <v>42</v>
      </c>
      <c r="B44" s="132" t="s">
        <v>301</v>
      </c>
      <c r="C44" s="123" t="str">
        <f>K22</f>
        <v>C2</v>
      </c>
      <c r="D44" s="5" t="s">
        <v>302</v>
      </c>
      <c r="E44" s="5" t="s">
        <v>257</v>
      </c>
      <c r="F44" s="119">
        <f>K21</f>
        <v>-2100</v>
      </c>
      <c r="G44" s="119"/>
      <c r="H44" s="38" t="s">
        <v>303</v>
      </c>
      <c r="I44" s="54">
        <f>L38</f>
        <v>12.000886161322633</v>
      </c>
      <c r="J44" s="38" t="s">
        <v>304</v>
      </c>
      <c r="K44" s="54">
        <f>tempconv(G12,J12,"℃")</f>
        <v>84.21082736460374</v>
      </c>
      <c r="L44" s="38" t="s">
        <v>305</v>
      </c>
      <c r="M44" s="54">
        <f>L40</f>
        <v>11.519999999999998</v>
      </c>
      <c r="N44" s="38" t="s">
        <v>304</v>
      </c>
      <c r="O44" s="54">
        <f>tempconv(G14,J14,"℃")</f>
        <v>10</v>
      </c>
      <c r="P44" s="55" t="s">
        <v>306</v>
      </c>
      <c r="Q44" s="5"/>
      <c r="R44" s="38" t="s">
        <v>257</v>
      </c>
      <c r="S44" s="126">
        <f aca="true" t="shared" si="0" ref="S44:S55">F44*(I44*K44-M44*O44)/10^6</f>
        <v>-1.880349560782145</v>
      </c>
      <c r="T44" s="126"/>
      <c r="U44" s="56" t="s">
        <v>296</v>
      </c>
    </row>
    <row r="45" spans="1:21" ht="11.25" customHeight="1">
      <c r="A45" s="3">
        <v>43</v>
      </c>
      <c r="B45" s="175"/>
      <c r="C45" s="176"/>
      <c r="D45" s="8" t="s">
        <v>307</v>
      </c>
      <c r="E45" s="8" t="s">
        <v>257</v>
      </c>
      <c r="F45" s="128">
        <f>L21</f>
        <v>1160</v>
      </c>
      <c r="G45" s="128"/>
      <c r="H45" s="64" t="s">
        <v>303</v>
      </c>
      <c r="I45" s="65">
        <f>I44</f>
        <v>12.000886161322633</v>
      </c>
      <c r="J45" s="64" t="s">
        <v>304</v>
      </c>
      <c r="K45" s="65">
        <f>K44</f>
        <v>84.21082736460374</v>
      </c>
      <c r="L45" s="64" t="s">
        <v>305</v>
      </c>
      <c r="M45" s="65">
        <f>M44</f>
        <v>11.519999999999998</v>
      </c>
      <c r="N45" s="64" t="s">
        <v>304</v>
      </c>
      <c r="O45" s="65">
        <f>O44</f>
        <v>10</v>
      </c>
      <c r="P45" s="66" t="s">
        <v>306</v>
      </c>
      <c r="Q45" s="8"/>
      <c r="R45" s="64" t="s">
        <v>257</v>
      </c>
      <c r="S45" s="127">
        <f t="shared" si="0"/>
        <v>1.0386692811939469</v>
      </c>
      <c r="T45" s="127"/>
      <c r="U45" s="67" t="s">
        <v>296</v>
      </c>
    </row>
    <row r="46" spans="1:21" ht="11.25" customHeight="1">
      <c r="A46" s="3">
        <v>44</v>
      </c>
      <c r="B46" s="132" t="s">
        <v>301</v>
      </c>
      <c r="C46" s="123" t="str">
        <f>N22</f>
        <v>C1</v>
      </c>
      <c r="D46" s="11" t="s">
        <v>302</v>
      </c>
      <c r="E46" s="11" t="s">
        <v>257</v>
      </c>
      <c r="F46" s="131">
        <f>O21</f>
        <v>2100</v>
      </c>
      <c r="G46" s="131"/>
      <c r="H46" s="36" t="s">
        <v>303</v>
      </c>
      <c r="I46" s="57">
        <f>L38</f>
        <v>12.000886161322633</v>
      </c>
      <c r="J46" s="36" t="s">
        <v>304</v>
      </c>
      <c r="K46" s="57">
        <f>tempconv(G12,J12,"℃")</f>
        <v>84.21082736460374</v>
      </c>
      <c r="L46" s="36" t="s">
        <v>305</v>
      </c>
      <c r="M46" s="57">
        <f>L40</f>
        <v>11.519999999999998</v>
      </c>
      <c r="N46" s="36" t="s">
        <v>304</v>
      </c>
      <c r="O46" s="57">
        <f>tempconv(G14,J14,"℃")</f>
        <v>10</v>
      </c>
      <c r="P46" s="58" t="s">
        <v>306</v>
      </c>
      <c r="Q46" s="11"/>
      <c r="R46" s="36" t="s">
        <v>257</v>
      </c>
      <c r="S46" s="133">
        <f>IF(C46="***","***",F46*(I46*K46-M46*O46)/10^6)</f>
        <v>1.880349560782145</v>
      </c>
      <c r="T46" s="133"/>
      <c r="U46" s="59" t="s">
        <v>296</v>
      </c>
    </row>
    <row r="47" spans="1:21" ht="11.25" customHeight="1">
      <c r="A47" s="3">
        <v>45</v>
      </c>
      <c r="B47" s="118"/>
      <c r="C47" s="124"/>
      <c r="D47" s="17" t="s">
        <v>307</v>
      </c>
      <c r="E47" s="17" t="s">
        <v>257</v>
      </c>
      <c r="F47" s="125">
        <f>P21</f>
        <v>1160</v>
      </c>
      <c r="G47" s="125"/>
      <c r="H47" s="60" t="s">
        <v>303</v>
      </c>
      <c r="I47" s="61">
        <f>I46</f>
        <v>12.000886161322633</v>
      </c>
      <c r="J47" s="60" t="s">
        <v>304</v>
      </c>
      <c r="K47" s="61">
        <f>K46</f>
        <v>84.21082736460374</v>
      </c>
      <c r="L47" s="60" t="s">
        <v>305</v>
      </c>
      <c r="M47" s="61">
        <f>M46</f>
        <v>11.519999999999998</v>
      </c>
      <c r="N47" s="60" t="s">
        <v>304</v>
      </c>
      <c r="O47" s="61">
        <f>O46</f>
        <v>10</v>
      </c>
      <c r="P47" s="62" t="s">
        <v>306</v>
      </c>
      <c r="Q47" s="17"/>
      <c r="R47" s="60" t="s">
        <v>257</v>
      </c>
      <c r="S47" s="122">
        <f>IF(C46="***","***",F47*(I47*K47-M47*O47)/10^6)</f>
        <v>1.0386692811939469</v>
      </c>
      <c r="T47" s="122"/>
      <c r="U47" s="63" t="s">
        <v>296</v>
      </c>
    </row>
    <row r="48" spans="1:21" ht="11.25" customHeight="1">
      <c r="A48" s="3">
        <v>46</v>
      </c>
      <c r="B48" s="132" t="s">
        <v>301</v>
      </c>
      <c r="C48" s="123" t="str">
        <f>S22</f>
        <v>D</v>
      </c>
      <c r="D48" s="11" t="s">
        <v>302</v>
      </c>
      <c r="E48" s="11" t="s">
        <v>257</v>
      </c>
      <c r="F48" s="131">
        <f>S21</f>
        <v>6354</v>
      </c>
      <c r="G48" s="131"/>
      <c r="H48" s="36" t="s">
        <v>303</v>
      </c>
      <c r="I48" s="57">
        <f>L38</f>
        <v>12.000886161322633</v>
      </c>
      <c r="J48" s="36" t="s">
        <v>304</v>
      </c>
      <c r="K48" s="57">
        <f>tempconv(G12,J12,"℃")</f>
        <v>84.21082736460374</v>
      </c>
      <c r="L48" s="36" t="s">
        <v>305</v>
      </c>
      <c r="M48" s="57">
        <f>L40</f>
        <v>11.519999999999998</v>
      </c>
      <c r="N48" s="36" t="s">
        <v>304</v>
      </c>
      <c r="O48" s="57">
        <f>tempconv(G14,J14,"℃")</f>
        <v>10</v>
      </c>
      <c r="P48" s="58" t="s">
        <v>306</v>
      </c>
      <c r="Q48" s="11"/>
      <c r="R48" s="36" t="s">
        <v>257</v>
      </c>
      <c r="S48" s="133">
        <f t="shared" si="0"/>
        <v>5.689400528195119</v>
      </c>
      <c r="T48" s="133"/>
      <c r="U48" s="59" t="s">
        <v>296</v>
      </c>
    </row>
    <row r="49" spans="1:21" ht="11.25" customHeight="1">
      <c r="A49" s="3">
        <v>47</v>
      </c>
      <c r="B49" s="118"/>
      <c r="C49" s="124"/>
      <c r="D49" s="17" t="s">
        <v>307</v>
      </c>
      <c r="E49" s="17" t="s">
        <v>257</v>
      </c>
      <c r="F49" s="125">
        <f>T21</f>
        <v>1160</v>
      </c>
      <c r="G49" s="125"/>
      <c r="H49" s="60" t="s">
        <v>303</v>
      </c>
      <c r="I49" s="61">
        <f>I48</f>
        <v>12.000886161322633</v>
      </c>
      <c r="J49" s="60" t="s">
        <v>304</v>
      </c>
      <c r="K49" s="61">
        <f>K48</f>
        <v>84.21082736460374</v>
      </c>
      <c r="L49" s="60" t="s">
        <v>305</v>
      </c>
      <c r="M49" s="61">
        <f>M48</f>
        <v>11.519999999999998</v>
      </c>
      <c r="N49" s="60" t="s">
        <v>304</v>
      </c>
      <c r="O49" s="61">
        <f>O48</f>
        <v>10</v>
      </c>
      <c r="P49" s="62" t="s">
        <v>306</v>
      </c>
      <c r="Q49" s="17"/>
      <c r="R49" s="60" t="s">
        <v>257</v>
      </c>
      <c r="S49" s="122">
        <f t="shared" si="0"/>
        <v>1.0386692811939469</v>
      </c>
      <c r="T49" s="122"/>
      <c r="U49" s="63" t="s">
        <v>296</v>
      </c>
    </row>
    <row r="50" spans="1:21" ht="11.25" customHeight="1">
      <c r="A50" s="3">
        <v>48</v>
      </c>
      <c r="B50" s="132" t="s">
        <v>301</v>
      </c>
      <c r="C50" s="123" t="str">
        <f>R31</f>
        <v>F</v>
      </c>
      <c r="D50" s="11" t="s">
        <v>302</v>
      </c>
      <c r="E50" s="11" t="s">
        <v>257</v>
      </c>
      <c r="F50" s="131">
        <f>R32</f>
        <v>5754</v>
      </c>
      <c r="G50" s="131"/>
      <c r="H50" s="36" t="s">
        <v>303</v>
      </c>
      <c r="I50" s="57">
        <f>L38</f>
        <v>12.000886161322633</v>
      </c>
      <c r="J50" s="36" t="s">
        <v>304</v>
      </c>
      <c r="K50" s="57">
        <f>tempconv(G12,J12,"℃")</f>
        <v>84.21082736460374</v>
      </c>
      <c r="L50" s="36" t="s">
        <v>305</v>
      </c>
      <c r="M50" s="57">
        <f>L40</f>
        <v>11.519999999999998</v>
      </c>
      <c r="N50" s="36" t="s">
        <v>304</v>
      </c>
      <c r="O50" s="57">
        <f>tempconv(G14,J14,"℃")</f>
        <v>10</v>
      </c>
      <c r="P50" s="58" t="s">
        <v>306</v>
      </c>
      <c r="Q50" s="11"/>
      <c r="R50" s="36" t="s">
        <v>257</v>
      </c>
      <c r="S50" s="133">
        <f>IF(C50="***","***",F50*(I50*K50-M50*O50)/10^6)</f>
        <v>5.152157796543078</v>
      </c>
      <c r="T50" s="133"/>
      <c r="U50" s="59" t="s">
        <v>296</v>
      </c>
    </row>
    <row r="51" spans="1:21" ht="11.25" customHeight="1">
      <c r="A51" s="3">
        <v>49</v>
      </c>
      <c r="B51" s="118"/>
      <c r="C51" s="124"/>
      <c r="D51" s="17" t="s">
        <v>307</v>
      </c>
      <c r="E51" s="17" t="s">
        <v>257</v>
      </c>
      <c r="F51" s="125">
        <f>S32</f>
        <v>-150</v>
      </c>
      <c r="G51" s="125"/>
      <c r="H51" s="60" t="s">
        <v>303</v>
      </c>
      <c r="I51" s="61">
        <f>I50</f>
        <v>12.000886161322633</v>
      </c>
      <c r="J51" s="60" t="s">
        <v>304</v>
      </c>
      <c r="K51" s="61">
        <f>K50</f>
        <v>84.21082736460374</v>
      </c>
      <c r="L51" s="60" t="s">
        <v>305</v>
      </c>
      <c r="M51" s="61">
        <f>M50</f>
        <v>11.519999999999998</v>
      </c>
      <c r="N51" s="60" t="s">
        <v>304</v>
      </c>
      <c r="O51" s="61">
        <f>O50</f>
        <v>10</v>
      </c>
      <c r="P51" s="62" t="s">
        <v>306</v>
      </c>
      <c r="Q51" s="17"/>
      <c r="R51" s="60" t="s">
        <v>257</v>
      </c>
      <c r="S51" s="122">
        <f>IF(C50="***","***",F51*(I51*K51-M51*O51)/10^6)</f>
        <v>-0.13431068291301035</v>
      </c>
      <c r="T51" s="122"/>
      <c r="U51" s="63" t="s">
        <v>296</v>
      </c>
    </row>
    <row r="52" spans="1:21" ht="11.25" customHeight="1">
      <c r="A52" s="3">
        <v>50</v>
      </c>
      <c r="B52" s="132" t="s">
        <v>301</v>
      </c>
      <c r="C52" s="123" t="str">
        <f>H31</f>
        <v>E</v>
      </c>
      <c r="D52" s="11" t="s">
        <v>302</v>
      </c>
      <c r="E52" s="11" t="s">
        <v>257</v>
      </c>
      <c r="F52" s="131">
        <f>H32</f>
        <v>-5370</v>
      </c>
      <c r="G52" s="131"/>
      <c r="H52" s="36" t="s">
        <v>303</v>
      </c>
      <c r="I52" s="57">
        <f>L38</f>
        <v>12.000886161322633</v>
      </c>
      <c r="J52" s="36" t="s">
        <v>304</v>
      </c>
      <c r="K52" s="57">
        <f>tempconv(G12,J12,"℃")</f>
        <v>84.21082736460374</v>
      </c>
      <c r="L52" s="36" t="s">
        <v>305</v>
      </c>
      <c r="M52" s="57">
        <f>L40</f>
        <v>11.519999999999998</v>
      </c>
      <c r="N52" s="36" t="s">
        <v>304</v>
      </c>
      <c r="O52" s="57">
        <f>tempconv(G14,J14,"℃")</f>
        <v>10</v>
      </c>
      <c r="P52" s="58" t="s">
        <v>306</v>
      </c>
      <c r="Q52" s="11"/>
      <c r="R52" s="36" t="s">
        <v>257</v>
      </c>
      <c r="S52" s="133">
        <f t="shared" si="0"/>
        <v>-4.808322448285771</v>
      </c>
      <c r="T52" s="133"/>
      <c r="U52" s="59" t="s">
        <v>296</v>
      </c>
    </row>
    <row r="53" spans="1:21" ht="11.25" customHeight="1">
      <c r="A53" s="3">
        <v>51</v>
      </c>
      <c r="B53" s="118"/>
      <c r="C53" s="124"/>
      <c r="D53" s="17" t="s">
        <v>307</v>
      </c>
      <c r="E53" s="17" t="s">
        <v>257</v>
      </c>
      <c r="F53" s="125">
        <f>I32</f>
        <v>-150</v>
      </c>
      <c r="G53" s="125"/>
      <c r="H53" s="60" t="s">
        <v>303</v>
      </c>
      <c r="I53" s="61">
        <f>I52</f>
        <v>12.000886161322633</v>
      </c>
      <c r="J53" s="60" t="s">
        <v>304</v>
      </c>
      <c r="K53" s="61">
        <f>K52</f>
        <v>84.21082736460374</v>
      </c>
      <c r="L53" s="60" t="s">
        <v>305</v>
      </c>
      <c r="M53" s="61">
        <f>M52</f>
        <v>11.519999999999998</v>
      </c>
      <c r="N53" s="60" t="s">
        <v>304</v>
      </c>
      <c r="O53" s="61">
        <f>O52</f>
        <v>10</v>
      </c>
      <c r="P53" s="62" t="s">
        <v>306</v>
      </c>
      <c r="Q53" s="17"/>
      <c r="R53" s="60" t="s">
        <v>257</v>
      </c>
      <c r="S53" s="122">
        <f t="shared" si="0"/>
        <v>-0.13431068291301035</v>
      </c>
      <c r="T53" s="122"/>
      <c r="U53" s="63" t="s">
        <v>296</v>
      </c>
    </row>
    <row r="54" spans="1:21" ht="11.25" customHeight="1">
      <c r="A54" s="3">
        <v>52</v>
      </c>
      <c r="B54" s="33"/>
      <c r="C54" s="69"/>
      <c r="D54" s="11" t="s">
        <v>308</v>
      </c>
      <c r="E54" s="11" t="s">
        <v>257</v>
      </c>
      <c r="F54" s="131">
        <f>F58</f>
        <v>-5620</v>
      </c>
      <c r="G54" s="131"/>
      <c r="H54" s="36" t="s">
        <v>303</v>
      </c>
      <c r="I54" s="57">
        <f>I58</f>
        <v>12.000886161322633</v>
      </c>
      <c r="J54" s="36" t="s">
        <v>304</v>
      </c>
      <c r="K54" s="57">
        <f>K58</f>
        <v>84.21082736460374</v>
      </c>
      <c r="L54" s="36" t="s">
        <v>305</v>
      </c>
      <c r="M54" s="57">
        <f>M58</f>
        <v>11.519999999999998</v>
      </c>
      <c r="N54" s="36" t="s">
        <v>304</v>
      </c>
      <c r="O54" s="57">
        <f>O58</f>
        <v>10</v>
      </c>
      <c r="P54" s="58" t="s">
        <v>306</v>
      </c>
      <c r="Q54" s="11"/>
      <c r="R54" s="36" t="s">
        <v>257</v>
      </c>
      <c r="S54" s="135">
        <f t="shared" si="0"/>
        <v>-5.032173586474122</v>
      </c>
      <c r="T54" s="135"/>
      <c r="U54" s="59" t="s">
        <v>296</v>
      </c>
    </row>
    <row r="55" spans="1:21" ht="11.25" customHeight="1">
      <c r="A55" s="3">
        <v>53</v>
      </c>
      <c r="B55" s="41" t="s">
        <v>301</v>
      </c>
      <c r="C55" s="45" t="str">
        <f>E31</f>
        <v>A</v>
      </c>
      <c r="D55" s="7" t="s">
        <v>309</v>
      </c>
      <c r="E55" s="7" t="s">
        <v>257</v>
      </c>
      <c r="F55" s="120">
        <f>F59</f>
        <v>-286</v>
      </c>
      <c r="G55" s="120"/>
      <c r="H55" s="32" t="s">
        <v>303</v>
      </c>
      <c r="I55" s="48">
        <f>Q38</f>
        <v>11.723212799999999</v>
      </c>
      <c r="J55" s="32" t="s">
        <v>304</v>
      </c>
      <c r="K55" s="48">
        <f>tempconv(Q11,T11,"℃")</f>
        <v>41.36</v>
      </c>
      <c r="L55" s="32" t="s">
        <v>305</v>
      </c>
      <c r="M55" s="48">
        <f>M59</f>
        <v>11.519999999999998</v>
      </c>
      <c r="N55" s="32" t="s">
        <v>304</v>
      </c>
      <c r="O55" s="48">
        <f>O59</f>
        <v>10</v>
      </c>
      <c r="P55" s="50" t="s">
        <v>306</v>
      </c>
      <c r="Q55" s="7"/>
      <c r="R55" s="32" t="s">
        <v>257</v>
      </c>
      <c r="S55" s="121">
        <f t="shared" si="0"/>
        <v>-0.10572621528268797</v>
      </c>
      <c r="T55" s="121"/>
      <c r="U55" s="49" t="s">
        <v>296</v>
      </c>
    </row>
    <row r="56" spans="1:21" ht="11.25" customHeight="1">
      <c r="A56" s="3">
        <v>54</v>
      </c>
      <c r="B56" s="41"/>
      <c r="C56" s="19"/>
      <c r="D56" s="8" t="s">
        <v>302</v>
      </c>
      <c r="E56" s="8" t="s">
        <v>257</v>
      </c>
      <c r="F56" s="64" t="s">
        <v>308</v>
      </c>
      <c r="G56" s="64" t="s">
        <v>310</v>
      </c>
      <c r="H56" s="64" t="s">
        <v>309</v>
      </c>
      <c r="I56" s="8"/>
      <c r="J56" s="8"/>
      <c r="K56" s="8"/>
      <c r="L56" s="8"/>
      <c r="M56" s="8"/>
      <c r="N56" s="8"/>
      <c r="O56" s="8"/>
      <c r="P56" s="8"/>
      <c r="Q56" s="8"/>
      <c r="R56" s="64" t="s">
        <v>257</v>
      </c>
      <c r="S56" s="127">
        <f>S54+S55</f>
        <v>-5.13789980175681</v>
      </c>
      <c r="T56" s="127"/>
      <c r="U56" s="67" t="s">
        <v>296</v>
      </c>
    </row>
    <row r="57" spans="1:21" ht="11.25" customHeight="1">
      <c r="A57" s="3">
        <v>55</v>
      </c>
      <c r="B57" s="43"/>
      <c r="C57" s="23"/>
      <c r="D57" s="70" t="s">
        <v>307</v>
      </c>
      <c r="E57" s="70" t="s">
        <v>257</v>
      </c>
      <c r="F57" s="136">
        <f>-D30</f>
        <v>-150</v>
      </c>
      <c r="G57" s="136"/>
      <c r="H57" s="71" t="s">
        <v>303</v>
      </c>
      <c r="I57" s="72">
        <f>I55</f>
        <v>11.723212799999999</v>
      </c>
      <c r="J57" s="71" t="s">
        <v>304</v>
      </c>
      <c r="K57" s="72">
        <f>K55</f>
        <v>41.36</v>
      </c>
      <c r="L57" s="71" t="s">
        <v>305</v>
      </c>
      <c r="M57" s="72">
        <f>M55</f>
        <v>11.519999999999998</v>
      </c>
      <c r="N57" s="71" t="s">
        <v>304</v>
      </c>
      <c r="O57" s="72">
        <f>O55</f>
        <v>10</v>
      </c>
      <c r="P57" s="73" t="s">
        <v>306</v>
      </c>
      <c r="Q57" s="70"/>
      <c r="R57" s="71" t="s">
        <v>257</v>
      </c>
      <c r="S57" s="117">
        <f>F57*(I57*K57-M57*O57)/10^6</f>
        <v>-0.05545081221119999</v>
      </c>
      <c r="T57" s="117"/>
      <c r="U57" s="74" t="s">
        <v>296</v>
      </c>
    </row>
    <row r="58" spans="1:21" ht="11.25" customHeight="1">
      <c r="A58" s="3">
        <v>56</v>
      </c>
      <c r="B58" s="33"/>
      <c r="C58" s="69"/>
      <c r="D58" s="5" t="s">
        <v>308</v>
      </c>
      <c r="E58" s="5" t="s">
        <v>257</v>
      </c>
      <c r="F58" s="119">
        <f>-G26</f>
        <v>-5620</v>
      </c>
      <c r="G58" s="119"/>
      <c r="H58" s="38" t="s">
        <v>303</v>
      </c>
      <c r="I58" s="54">
        <f>L38</f>
        <v>12.000886161322633</v>
      </c>
      <c r="J58" s="38" t="s">
        <v>304</v>
      </c>
      <c r="K58" s="54">
        <f>tempconv(G12,J12,"℃")</f>
        <v>84.21082736460374</v>
      </c>
      <c r="L58" s="38" t="s">
        <v>305</v>
      </c>
      <c r="M58" s="54">
        <f>L40</f>
        <v>11.519999999999998</v>
      </c>
      <c r="N58" s="38" t="s">
        <v>304</v>
      </c>
      <c r="O58" s="54">
        <f>tempconv(G14,J14,"℃")</f>
        <v>10</v>
      </c>
      <c r="P58" s="55" t="s">
        <v>306</v>
      </c>
      <c r="Q58" s="5"/>
      <c r="R58" s="38" t="s">
        <v>257</v>
      </c>
      <c r="S58" s="134">
        <f>F58*(I58*K58-M58*O58)/10^6</f>
        <v>-5.032173586474122</v>
      </c>
      <c r="T58" s="134"/>
      <c r="U58" s="56" t="s">
        <v>296</v>
      </c>
    </row>
    <row r="59" spans="1:21" ht="11.25" customHeight="1">
      <c r="A59" s="3">
        <v>57</v>
      </c>
      <c r="B59" s="41"/>
      <c r="C59" s="19"/>
      <c r="D59" s="7" t="s">
        <v>309</v>
      </c>
      <c r="E59" s="7" t="s">
        <v>257</v>
      </c>
      <c r="F59" s="120">
        <f>-F26</f>
        <v>-286</v>
      </c>
      <c r="G59" s="120"/>
      <c r="H59" s="32" t="s">
        <v>303</v>
      </c>
      <c r="I59" s="48">
        <f>Q39</f>
        <v>11.9815056</v>
      </c>
      <c r="J59" s="32" t="s">
        <v>304</v>
      </c>
      <c r="K59" s="48">
        <f>tempconv(Q12,T12,"℃")</f>
        <v>81.22</v>
      </c>
      <c r="L59" s="32" t="s">
        <v>305</v>
      </c>
      <c r="M59" s="48">
        <f>Q40</f>
        <v>11.519999999999998</v>
      </c>
      <c r="N59" s="32" t="s">
        <v>304</v>
      </c>
      <c r="O59" s="48">
        <f>tempconv(G14,J14,"℃")</f>
        <v>10</v>
      </c>
      <c r="P59" s="50" t="s">
        <v>306</v>
      </c>
      <c r="Q59" s="7"/>
      <c r="R59" s="32" t="s">
        <v>257</v>
      </c>
      <c r="S59" s="121">
        <f>F59*(I59*K59-M59*O59)/10^6</f>
        <v>-0.24537023506195202</v>
      </c>
      <c r="T59" s="121"/>
      <c r="U59" s="49" t="s">
        <v>296</v>
      </c>
    </row>
    <row r="60" spans="1:21" ht="11.25" customHeight="1">
      <c r="A60" s="3">
        <v>58</v>
      </c>
      <c r="B60" s="41" t="s">
        <v>301</v>
      </c>
      <c r="C60" s="45" t="str">
        <f>E22</f>
        <v>B</v>
      </c>
      <c r="D60" s="8" t="s">
        <v>302</v>
      </c>
      <c r="E60" s="8" t="s">
        <v>257</v>
      </c>
      <c r="F60" s="64" t="s">
        <v>308</v>
      </c>
      <c r="G60" s="64" t="s">
        <v>310</v>
      </c>
      <c r="H60" s="64" t="s">
        <v>309</v>
      </c>
      <c r="I60" s="8"/>
      <c r="J60" s="8"/>
      <c r="K60" s="8"/>
      <c r="L60" s="8"/>
      <c r="M60" s="8"/>
      <c r="N60" s="8"/>
      <c r="O60" s="8"/>
      <c r="P60" s="8"/>
      <c r="Q60" s="8"/>
      <c r="R60" s="64" t="s">
        <v>257</v>
      </c>
      <c r="S60" s="127">
        <f>S58+S59</f>
        <v>-5.277543821536074</v>
      </c>
      <c r="T60" s="127"/>
      <c r="U60" s="67" t="s">
        <v>296</v>
      </c>
    </row>
    <row r="61" spans="1:21" ht="11.25" customHeight="1">
      <c r="A61" s="3">
        <v>59</v>
      </c>
      <c r="B61" s="41"/>
      <c r="C61" s="19"/>
      <c r="D61" s="11" t="s">
        <v>518</v>
      </c>
      <c r="E61" s="11" t="s">
        <v>257</v>
      </c>
      <c r="F61" s="131">
        <f>C25/2</f>
        <v>469.5</v>
      </c>
      <c r="G61" s="131"/>
      <c r="H61" s="36" t="s">
        <v>303</v>
      </c>
      <c r="I61" s="57">
        <f>I57</f>
        <v>11.723212799999999</v>
      </c>
      <c r="J61" s="36" t="s">
        <v>304</v>
      </c>
      <c r="K61" s="57">
        <f>K57</f>
        <v>41.36</v>
      </c>
      <c r="L61" s="36" t="s">
        <v>305</v>
      </c>
      <c r="M61" s="57">
        <f>M58</f>
        <v>11.519999999999998</v>
      </c>
      <c r="N61" s="36" t="s">
        <v>304</v>
      </c>
      <c r="O61" s="57">
        <f>O58</f>
        <v>10</v>
      </c>
      <c r="P61" s="58" t="s">
        <v>306</v>
      </c>
      <c r="Q61" s="11"/>
      <c r="R61" s="36" t="s">
        <v>257</v>
      </c>
      <c r="S61" s="135">
        <f>F61*(I61*K61-M61*O61)/10^6</f>
        <v>0.17356104222105598</v>
      </c>
      <c r="T61" s="135"/>
      <c r="U61" s="59" t="s">
        <v>296</v>
      </c>
    </row>
    <row r="62" spans="1:21" ht="11.25" customHeight="1">
      <c r="A62" s="16">
        <v>60</v>
      </c>
      <c r="B62" s="41"/>
      <c r="C62" s="19"/>
      <c r="D62" s="7" t="s">
        <v>519</v>
      </c>
      <c r="E62" s="7" t="s">
        <v>257</v>
      </c>
      <c r="F62" s="120">
        <f>C25/2+D23</f>
        <v>619.5</v>
      </c>
      <c r="G62" s="120"/>
      <c r="H62" s="32" t="s">
        <v>303</v>
      </c>
      <c r="I62" s="48">
        <f>I59</f>
        <v>11.9815056</v>
      </c>
      <c r="J62" s="32" t="s">
        <v>304</v>
      </c>
      <c r="K62" s="48">
        <f>K59</f>
        <v>81.22</v>
      </c>
      <c r="L62" s="32" t="s">
        <v>305</v>
      </c>
      <c r="M62" s="48">
        <f>M59</f>
        <v>11.519999999999998</v>
      </c>
      <c r="N62" s="32" t="s">
        <v>304</v>
      </c>
      <c r="O62" s="48">
        <f>O59</f>
        <v>10</v>
      </c>
      <c r="P62" s="50" t="s">
        <v>306</v>
      </c>
      <c r="Q62" s="7"/>
      <c r="R62" s="32" t="s">
        <v>257</v>
      </c>
      <c r="S62" s="121">
        <f>F62*(I62*K62-M62*O62)/10^6</f>
        <v>0.531492519653424</v>
      </c>
      <c r="T62" s="121"/>
      <c r="U62" s="49" t="s">
        <v>296</v>
      </c>
    </row>
    <row r="63" spans="1:21" ht="11.25" customHeight="1">
      <c r="A63" s="3">
        <v>61</v>
      </c>
      <c r="B63" s="43"/>
      <c r="C63" s="23"/>
      <c r="D63" s="17" t="s">
        <v>307</v>
      </c>
      <c r="E63" s="17" t="s">
        <v>257</v>
      </c>
      <c r="F63" s="60" t="str">
        <f>D61</f>
        <v>Δzci</v>
      </c>
      <c r="G63" s="60" t="s">
        <v>310</v>
      </c>
      <c r="H63" s="60" t="str">
        <f>D62</f>
        <v>Δzco</v>
      </c>
      <c r="I63" s="17"/>
      <c r="J63" s="17"/>
      <c r="K63" s="17"/>
      <c r="L63" s="17"/>
      <c r="M63" s="17"/>
      <c r="N63" s="17"/>
      <c r="O63" s="17"/>
      <c r="P63" s="17"/>
      <c r="Q63" s="17"/>
      <c r="R63" s="60" t="s">
        <v>257</v>
      </c>
      <c r="S63" s="122">
        <f>S61+S62</f>
        <v>0.70505356187448</v>
      </c>
      <c r="T63" s="122"/>
      <c r="U63" s="63" t="s">
        <v>296</v>
      </c>
    </row>
    <row r="64" spans="1:21" ht="11.25" customHeight="1">
      <c r="A64" s="3">
        <v>62</v>
      </c>
      <c r="B64" s="14" t="s">
        <v>311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5"/>
    </row>
    <row r="65" spans="1:21" ht="11.25" customHeight="1">
      <c r="A65" s="3">
        <v>63</v>
      </c>
      <c r="B65" s="104" t="s">
        <v>312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</row>
    <row r="66" spans="1:21" ht="11.25" customHeight="1">
      <c r="A66" s="3">
        <v>64</v>
      </c>
      <c r="B66" s="104" t="s">
        <v>313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</row>
    <row r="67" spans="1:21" ht="11.25" customHeight="1">
      <c r="A67" s="3">
        <v>65</v>
      </c>
      <c r="B67" s="105" t="s">
        <v>314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</row>
    <row r="68" spans="1:21" ht="11.25" customHeight="1">
      <c r="A68" s="3"/>
      <c r="B68" s="22" t="s">
        <v>536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09" t="s">
        <v>537</v>
      </c>
    </row>
    <row r="69" ht="11.25" customHeight="1">
      <c r="A69" s="3"/>
    </row>
    <row r="70" ht="11.25" customHeight="1">
      <c r="A70" s="3"/>
    </row>
  </sheetData>
  <mergeCells count="94">
    <mergeCell ref="C48:C49"/>
    <mergeCell ref="F48:G48"/>
    <mergeCell ref="S48:T48"/>
    <mergeCell ref="F49:G49"/>
    <mergeCell ref="S49:T49"/>
    <mergeCell ref="B1:U2"/>
    <mergeCell ref="R3:U3"/>
    <mergeCell ref="R4:U4"/>
    <mergeCell ref="R5:U5"/>
    <mergeCell ref="R7:U7"/>
    <mergeCell ref="B8:U8"/>
    <mergeCell ref="B15:U15"/>
    <mergeCell ref="G12:I12"/>
    <mergeCell ref="Q11:S11"/>
    <mergeCell ref="Q12:S12"/>
    <mergeCell ref="G14:I14"/>
    <mergeCell ref="X11:AA11"/>
    <mergeCell ref="AB11:AE11"/>
    <mergeCell ref="B9:K9"/>
    <mergeCell ref="L9:U9"/>
    <mergeCell ref="X9:AA9"/>
    <mergeCell ref="AB9:AE9"/>
    <mergeCell ref="X10:AA10"/>
    <mergeCell ref="AB10:AE10"/>
    <mergeCell ref="G10:I10"/>
    <mergeCell ref="Q10:S10"/>
    <mergeCell ref="L40:M40"/>
    <mergeCell ref="B36:U36"/>
    <mergeCell ref="B19:U19"/>
    <mergeCell ref="Q38:R38"/>
    <mergeCell ref="Q39:R39"/>
    <mergeCell ref="Q40:R40"/>
    <mergeCell ref="E22:F22"/>
    <mergeCell ref="Q25:Q28"/>
    <mergeCell ref="S22:T22"/>
    <mergeCell ref="J28:L28"/>
    <mergeCell ref="P25:P28"/>
    <mergeCell ref="L38:M38"/>
    <mergeCell ref="H28:I28"/>
    <mergeCell ref="B25:B28"/>
    <mergeCell ref="C25:C28"/>
    <mergeCell ref="I37:M37"/>
    <mergeCell ref="E31:F31"/>
    <mergeCell ref="G26:I26"/>
    <mergeCell ref="R31:S31"/>
    <mergeCell ref="N37:R37"/>
    <mergeCell ref="S50:T50"/>
    <mergeCell ref="S46:T46"/>
    <mergeCell ref="S47:T47"/>
    <mergeCell ref="F59:G59"/>
    <mergeCell ref="S59:T59"/>
    <mergeCell ref="S44:T44"/>
    <mergeCell ref="S45:T45"/>
    <mergeCell ref="F45:G45"/>
    <mergeCell ref="S52:T52"/>
    <mergeCell ref="F53:G53"/>
    <mergeCell ref="S53:T53"/>
    <mergeCell ref="F58:G58"/>
    <mergeCell ref="S58:T58"/>
    <mergeCell ref="F57:G57"/>
    <mergeCell ref="S57:T57"/>
    <mergeCell ref="C50:C51"/>
    <mergeCell ref="C52:C53"/>
    <mergeCell ref="S51:T51"/>
    <mergeCell ref="S63:T63"/>
    <mergeCell ref="F54:G54"/>
    <mergeCell ref="S54:T54"/>
    <mergeCell ref="F55:G55"/>
    <mergeCell ref="S55:T55"/>
    <mergeCell ref="S60:T60"/>
    <mergeCell ref="S56:T56"/>
    <mergeCell ref="F61:G61"/>
    <mergeCell ref="S61:T61"/>
    <mergeCell ref="F62:G62"/>
    <mergeCell ref="S62:T62"/>
    <mergeCell ref="B52:B53"/>
    <mergeCell ref="C44:C45"/>
    <mergeCell ref="B38:G39"/>
    <mergeCell ref="F52:G52"/>
    <mergeCell ref="F50:G50"/>
    <mergeCell ref="B44:B45"/>
    <mergeCell ref="F44:G44"/>
    <mergeCell ref="B50:B51"/>
    <mergeCell ref="F51:G51"/>
    <mergeCell ref="B48:B49"/>
    <mergeCell ref="N31:O31"/>
    <mergeCell ref="J24:K24"/>
    <mergeCell ref="K22:L22"/>
    <mergeCell ref="M24:N24"/>
    <mergeCell ref="N22:O22"/>
    <mergeCell ref="B46:B47"/>
    <mergeCell ref="C46:C47"/>
    <mergeCell ref="F46:G46"/>
    <mergeCell ref="F47:G47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70"/>
  <sheetViews>
    <sheetView zoomScaleSheetLayoutView="100" workbookViewId="0" topLeftCell="A1">
      <selection activeCell="O7" sqref="O7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65" t="s">
        <v>328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329</v>
      </c>
      <c r="C3" s="5"/>
      <c r="D3" s="5"/>
      <c r="E3" s="108" t="s">
        <v>330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331</v>
      </c>
      <c r="Q3" s="11"/>
      <c r="R3" s="171" t="s">
        <v>332</v>
      </c>
      <c r="S3" s="171"/>
      <c r="T3" s="171"/>
      <c r="U3" s="172"/>
    </row>
    <row r="4" spans="1:24" ht="11.25" customHeight="1">
      <c r="A4" s="3">
        <v>2</v>
      </c>
      <c r="B4" s="6" t="s">
        <v>333</v>
      </c>
      <c r="C4" s="7"/>
      <c r="D4" s="7"/>
      <c r="E4" s="20" t="s">
        <v>334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335</v>
      </c>
      <c r="Q4" s="7"/>
      <c r="R4" s="153" t="s">
        <v>336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337</v>
      </c>
      <c r="C5" s="7"/>
      <c r="D5" s="7"/>
      <c r="E5" s="20" t="s">
        <v>338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339</v>
      </c>
      <c r="Q5" s="7"/>
      <c r="R5" s="164" t="s">
        <v>534</v>
      </c>
      <c r="S5" s="164"/>
      <c r="T5" s="164"/>
      <c r="U5" s="173"/>
      <c r="X5" s="2" t="s">
        <v>423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340</v>
      </c>
      <c r="Q6" s="23"/>
      <c r="R6" s="24">
        <v>0</v>
      </c>
      <c r="S6" s="25"/>
      <c r="T6" s="25"/>
      <c r="U6" s="26"/>
      <c r="X6" s="111">
        <f>4.537-pressconv(1.033227,"kg/cm2.g",Y6)</f>
        <v>3.523750444045</v>
      </c>
      <c r="Y6" s="2" t="s">
        <v>418</v>
      </c>
      <c r="AA6" s="3">
        <f>tempconv(fprop(X10,X11,0,J12,X6,Y6,"Yes",1,0,0),"℃",J12)</f>
        <v>148.21045849582845</v>
      </c>
      <c r="AB6" s="2" t="s">
        <v>341</v>
      </c>
    </row>
    <row r="7" spans="1:28" ht="11.25" customHeight="1">
      <c r="A7" s="3">
        <v>5</v>
      </c>
      <c r="B7" s="10" t="s">
        <v>342</v>
      </c>
      <c r="C7" s="11"/>
      <c r="D7" s="11"/>
      <c r="E7" s="39" t="s">
        <v>415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343</v>
      </c>
      <c r="Q7" s="11"/>
      <c r="R7" s="161" t="s">
        <v>416</v>
      </c>
      <c r="S7" s="161"/>
      <c r="T7" s="161"/>
      <c r="U7" s="162"/>
      <c r="X7" s="3">
        <f>IF(X5&lt;&gt;"S/H",AA6,AA7)</f>
        <v>263.15</v>
      </c>
      <c r="AA7" s="111">
        <v>263.15</v>
      </c>
      <c r="AB7" s="2" t="s">
        <v>344</v>
      </c>
    </row>
    <row r="8" spans="1:21" ht="11.25" customHeight="1">
      <c r="A8" s="3">
        <v>6</v>
      </c>
      <c r="B8" s="145" t="s">
        <v>345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31" ht="11.25" customHeight="1">
      <c r="A9" s="3">
        <v>7</v>
      </c>
      <c r="B9" s="140" t="s">
        <v>346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347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346</v>
      </c>
      <c r="Y9" s="157"/>
      <c r="Z9" s="157"/>
      <c r="AA9" s="157"/>
      <c r="AB9" s="156" t="s">
        <v>347</v>
      </c>
      <c r="AC9" s="157"/>
      <c r="AD9" s="157"/>
      <c r="AE9" s="157"/>
    </row>
    <row r="10" spans="1:31" ht="11.25" customHeight="1">
      <c r="A10" s="3">
        <v>8</v>
      </c>
      <c r="B10" s="10" t="s">
        <v>348</v>
      </c>
      <c r="C10" s="11"/>
      <c r="D10" s="11"/>
      <c r="E10" s="11"/>
      <c r="F10" s="11"/>
      <c r="G10" s="161" t="s">
        <v>349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422</v>
      </c>
      <c r="R10" s="161"/>
      <c r="S10" s="161"/>
      <c r="T10" s="11"/>
      <c r="U10" s="15"/>
      <c r="V10" s="10" t="s">
        <v>350</v>
      </c>
      <c r="W10" s="15"/>
      <c r="X10" s="158" t="s">
        <v>20</v>
      </c>
      <c r="Y10" s="159"/>
      <c r="Z10" s="159"/>
      <c r="AA10" s="160"/>
      <c r="AB10" s="158"/>
      <c r="AC10" s="159"/>
      <c r="AD10" s="159"/>
      <c r="AE10" s="159"/>
    </row>
    <row r="11" spans="1:31" ht="11.25" customHeight="1">
      <c r="A11" s="3">
        <v>9</v>
      </c>
      <c r="B11" s="6" t="s">
        <v>351</v>
      </c>
      <c r="C11" s="7"/>
      <c r="D11" s="7"/>
      <c r="E11" s="7"/>
      <c r="F11" s="7"/>
      <c r="G11" s="32">
        <f>X6</f>
        <v>3.523750444045</v>
      </c>
      <c r="H11" s="32" t="s">
        <v>419</v>
      </c>
      <c r="I11" s="32">
        <f>G11+pressconv(1.033227,"kg/cm2.g",Y6)</f>
        <v>4.537</v>
      </c>
      <c r="J11" s="7" t="str">
        <f>Y6</f>
        <v>bar.g</v>
      </c>
      <c r="K11" s="7" t="str">
        <f>"/ "&amp;upsa(Y6)</f>
        <v>/ bar.a</v>
      </c>
      <c r="L11" s="6" t="s">
        <v>352</v>
      </c>
      <c r="M11" s="7"/>
      <c r="N11" s="7"/>
      <c r="O11" s="28" t="s">
        <v>353</v>
      </c>
      <c r="P11" s="7" t="s">
        <v>354</v>
      </c>
      <c r="Q11" s="164">
        <v>102.09</v>
      </c>
      <c r="R11" s="164"/>
      <c r="S11" s="164"/>
      <c r="T11" s="7" t="str">
        <f>J12</f>
        <v>℃</v>
      </c>
      <c r="U11" s="1"/>
      <c r="V11" s="6" t="s">
        <v>355</v>
      </c>
      <c r="W11" s="1"/>
      <c r="X11" s="152" t="s">
        <v>21</v>
      </c>
      <c r="Y11" s="153"/>
      <c r="Z11" s="153"/>
      <c r="AA11" s="154"/>
      <c r="AB11" s="152"/>
      <c r="AC11" s="153"/>
      <c r="AD11" s="153"/>
      <c r="AE11" s="153"/>
    </row>
    <row r="12" spans="1:21" ht="11.25" customHeight="1">
      <c r="A12" s="3">
        <v>10</v>
      </c>
      <c r="B12" s="6" t="s">
        <v>352</v>
      </c>
      <c r="C12" s="7"/>
      <c r="D12" s="7"/>
      <c r="E12" s="28" t="s">
        <v>353</v>
      </c>
      <c r="F12" s="7" t="s">
        <v>354</v>
      </c>
      <c r="G12" s="163">
        <f>X7</f>
        <v>263.15</v>
      </c>
      <c r="H12" s="163"/>
      <c r="I12" s="163"/>
      <c r="J12" s="7" t="s">
        <v>19</v>
      </c>
      <c r="K12" s="7"/>
      <c r="L12" s="6" t="s">
        <v>356</v>
      </c>
      <c r="M12" s="7"/>
      <c r="N12" s="7"/>
      <c r="O12" s="28" t="s">
        <v>357</v>
      </c>
      <c r="P12" s="7" t="s">
        <v>354</v>
      </c>
      <c r="Q12" s="164">
        <v>145.24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358</v>
      </c>
      <c r="C13" s="7"/>
      <c r="D13" s="7"/>
      <c r="E13" s="7"/>
      <c r="F13" s="7"/>
      <c r="G13" s="2" t="s">
        <v>24</v>
      </c>
      <c r="H13" s="7"/>
      <c r="I13" s="7"/>
      <c r="J13" s="7"/>
      <c r="K13" s="7"/>
      <c r="L13" s="6" t="s">
        <v>359</v>
      </c>
      <c r="M13" s="7"/>
      <c r="N13" s="7"/>
      <c r="O13" s="7"/>
      <c r="P13" s="7"/>
      <c r="Q13" s="2" t="s">
        <v>24</v>
      </c>
      <c r="R13" s="7"/>
      <c r="S13" s="7"/>
      <c r="T13" s="7"/>
      <c r="U13" s="1"/>
      <c r="V13" s="2" t="s">
        <v>360</v>
      </c>
      <c r="X13" s="2" t="s">
        <v>22</v>
      </c>
    </row>
    <row r="14" spans="1:28" ht="11.25" customHeight="1">
      <c r="A14" s="3">
        <v>12</v>
      </c>
      <c r="B14" s="10" t="s">
        <v>361</v>
      </c>
      <c r="C14" s="11"/>
      <c r="D14" s="11"/>
      <c r="E14" s="30" t="s">
        <v>362</v>
      </c>
      <c r="F14" s="11" t="s">
        <v>354</v>
      </c>
      <c r="G14" s="161">
        <v>10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AB14" s="2" t="s">
        <v>23</v>
      </c>
    </row>
    <row r="15" spans="1:21" ht="11.25" customHeight="1">
      <c r="A15" s="3">
        <v>13</v>
      </c>
      <c r="B15" s="145" t="s">
        <v>363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364</v>
      </c>
      <c r="C16" s="5" t="s">
        <v>365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366</v>
      </c>
      <c r="C17" s="7" t="s">
        <v>367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368</v>
      </c>
      <c r="C18" s="7" t="s">
        <v>369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370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40"/>
      <c r="D20" s="85" t="s">
        <v>371</v>
      </c>
      <c r="E20" s="87">
        <f>S60</f>
        <v>0</v>
      </c>
      <c r="F20" s="87">
        <f>S63</f>
        <v>1.392447241056816</v>
      </c>
      <c r="G20" s="40" t="s">
        <v>372</v>
      </c>
      <c r="H20" s="40"/>
      <c r="I20" s="40"/>
      <c r="J20" s="85" t="s">
        <v>371</v>
      </c>
      <c r="K20" s="87">
        <f>S44</f>
        <v>19.239953795999995</v>
      </c>
      <c r="L20" s="87">
        <f>S45</f>
        <v>3.4595816849999994</v>
      </c>
      <c r="M20" s="40" t="s">
        <v>372</v>
      </c>
      <c r="N20" s="85" t="s">
        <v>371</v>
      </c>
      <c r="O20" s="87" t="str">
        <f>IF(N22="***","***",S46)</f>
        <v>***</v>
      </c>
      <c r="P20" s="87" t="str">
        <f>IF(N22="***","***",S47)</f>
        <v>***</v>
      </c>
      <c r="Q20" s="40" t="s">
        <v>372</v>
      </c>
      <c r="R20" s="85" t="str">
        <f>IF(S22="***","***","Δ (")</f>
        <v>***</v>
      </c>
      <c r="S20" s="87" t="str">
        <f>IF(S22="***","***",S48)</f>
        <v>***</v>
      </c>
      <c r="T20" s="87" t="str">
        <f>IF(S22="***","***",S49)</f>
        <v>***</v>
      </c>
      <c r="U20" s="34" t="str">
        <f>IF(S22="***","***",")")</f>
        <v>***</v>
      </c>
    </row>
    <row r="21" spans="1:21" ht="11.25" customHeight="1">
      <c r="A21" s="3">
        <v>19</v>
      </c>
      <c r="B21" s="41"/>
      <c r="C21" s="19"/>
      <c r="D21" s="31" t="str">
        <f>E22&amp;" ("</f>
        <v>B (</v>
      </c>
      <c r="E21" s="47">
        <f>-(F26+G26)</f>
        <v>0</v>
      </c>
      <c r="F21" s="47">
        <f>Q25/2+C25/2+D23</f>
        <v>998.5</v>
      </c>
      <c r="G21" s="19" t="s">
        <v>372</v>
      </c>
      <c r="H21" s="19"/>
      <c r="I21" s="19"/>
      <c r="J21" s="31" t="str">
        <f>K22&amp;" ("</f>
        <v>C (</v>
      </c>
      <c r="K21" s="47">
        <f>J24</f>
        <v>5756</v>
      </c>
      <c r="L21" s="47">
        <f>Q25+M23</f>
        <v>1035</v>
      </c>
      <c r="M21" s="19" t="s">
        <v>372</v>
      </c>
      <c r="N21" s="31" t="str">
        <f>N22&amp;" ("</f>
        <v>*** (</v>
      </c>
      <c r="O21" s="47" t="str">
        <f>IF(N22="***","***",J24+M24)</f>
        <v>***</v>
      </c>
      <c r="P21" s="47" t="str">
        <f>IF(N22="***","***",L21)</f>
        <v>***</v>
      </c>
      <c r="Q21" s="19" t="s">
        <v>372</v>
      </c>
      <c r="R21" s="31" t="str">
        <f>IF(S22="***","***",S22&amp;" (")</f>
        <v>***</v>
      </c>
      <c r="S21" s="47" t="str">
        <f>IF(S22="***","***",N31+S24)</f>
        <v>***</v>
      </c>
      <c r="T21" s="47" t="str">
        <f>IF(S22="***","***",Q25+U23)</f>
        <v>***</v>
      </c>
      <c r="U21" s="42" t="str">
        <f>IF(S22="***","***",")")</f>
        <v>***</v>
      </c>
    </row>
    <row r="22" spans="1:21" ht="11.25" customHeight="1">
      <c r="A22" s="3">
        <v>20</v>
      </c>
      <c r="B22" s="41"/>
      <c r="C22" s="19"/>
      <c r="D22" s="19"/>
      <c r="E22" s="143" t="s">
        <v>373</v>
      </c>
      <c r="F22" s="143"/>
      <c r="G22" s="19"/>
      <c r="H22" s="19"/>
      <c r="I22" s="19"/>
      <c r="J22" s="19"/>
      <c r="K22" s="143" t="s">
        <v>421</v>
      </c>
      <c r="L22" s="143"/>
      <c r="M22" s="113"/>
      <c r="N22" s="143" t="s">
        <v>420</v>
      </c>
      <c r="O22" s="143"/>
      <c r="P22" s="19"/>
      <c r="Q22" s="19"/>
      <c r="R22" s="19"/>
      <c r="S22" s="143" t="s">
        <v>420</v>
      </c>
      <c r="T22" s="143"/>
      <c r="U22" s="42"/>
    </row>
    <row r="23" spans="1:21" ht="11.25" customHeight="1">
      <c r="A23" s="3">
        <v>21</v>
      </c>
      <c r="B23" s="106">
        <v>25</v>
      </c>
      <c r="C23" s="19" t="s">
        <v>374</v>
      </c>
      <c r="D23" s="82">
        <v>150</v>
      </c>
      <c r="E23" s="19"/>
      <c r="F23" s="19"/>
      <c r="G23" s="19"/>
      <c r="H23" s="19"/>
      <c r="I23" s="19"/>
      <c r="J23" s="19"/>
      <c r="K23" s="19"/>
      <c r="L23" s="19"/>
      <c r="M23" s="82">
        <v>150</v>
      </c>
      <c r="O23" s="19"/>
      <c r="P23" s="82">
        <v>10</v>
      </c>
      <c r="Q23" s="46" t="s">
        <v>374</v>
      </c>
      <c r="R23" s="19"/>
      <c r="S23" s="19"/>
      <c r="T23" s="19"/>
      <c r="U23" s="114">
        <v>0</v>
      </c>
    </row>
    <row r="24" spans="1:21" ht="11.25" customHeight="1">
      <c r="A24" s="3">
        <v>22</v>
      </c>
      <c r="B24" s="80" t="s">
        <v>375</v>
      </c>
      <c r="C24" s="81" t="s">
        <v>376</v>
      </c>
      <c r="D24" s="19"/>
      <c r="E24" s="19"/>
      <c r="F24" s="19"/>
      <c r="G24" s="19"/>
      <c r="H24" s="19"/>
      <c r="I24" s="19"/>
      <c r="J24" s="144">
        <f>5385+85+286</f>
        <v>5756</v>
      </c>
      <c r="K24" s="144"/>
      <c r="L24" s="112"/>
      <c r="M24" s="144">
        <v>0</v>
      </c>
      <c r="N24" s="144"/>
      <c r="O24" s="19"/>
      <c r="P24" s="81" t="s">
        <v>375</v>
      </c>
      <c r="Q24" s="81" t="s">
        <v>376</v>
      </c>
      <c r="R24" s="19"/>
      <c r="S24" s="82">
        <v>0</v>
      </c>
      <c r="T24" s="19"/>
      <c r="U24" s="42"/>
    </row>
    <row r="25" spans="1:21" ht="11.25" customHeight="1">
      <c r="A25" s="3">
        <v>23</v>
      </c>
      <c r="B25" s="148">
        <v>762</v>
      </c>
      <c r="C25" s="149">
        <f>B25+2*B23</f>
        <v>812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51">
        <v>865</v>
      </c>
      <c r="Q25" s="149">
        <f>P25+2*P23</f>
        <v>885</v>
      </c>
      <c r="R25" s="19"/>
      <c r="S25" s="19"/>
      <c r="T25" s="19"/>
      <c r="U25" s="42"/>
    </row>
    <row r="26" spans="1:21" ht="11.25" customHeight="1">
      <c r="A26" s="3">
        <v>24</v>
      </c>
      <c r="B26" s="148"/>
      <c r="C26" s="149"/>
      <c r="D26" s="19"/>
      <c r="E26" s="19"/>
      <c r="F26" s="82">
        <v>286</v>
      </c>
      <c r="G26" s="144">
        <v>-286</v>
      </c>
      <c r="H26" s="144"/>
      <c r="I26" s="144"/>
      <c r="J26" s="19"/>
      <c r="K26" s="19"/>
      <c r="L26" s="19"/>
      <c r="M26" s="19"/>
      <c r="N26" s="19"/>
      <c r="O26" s="19"/>
      <c r="P26" s="151"/>
      <c r="Q26" s="149"/>
      <c r="R26" s="19"/>
      <c r="S26" s="19"/>
      <c r="T26" s="19"/>
      <c r="U26" s="42"/>
    </row>
    <row r="27" spans="1:21" ht="11.25" customHeight="1">
      <c r="A27" s="3">
        <v>25</v>
      </c>
      <c r="B27" s="148"/>
      <c r="C27" s="14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51"/>
      <c r="Q27" s="149"/>
      <c r="R27" s="19"/>
      <c r="S27" s="19"/>
      <c r="T27" s="19"/>
      <c r="U27" s="42"/>
    </row>
    <row r="28" spans="1:21" ht="11.25" customHeight="1">
      <c r="A28" s="3">
        <v>26</v>
      </c>
      <c r="B28" s="148"/>
      <c r="C28" s="149"/>
      <c r="D28" s="19"/>
      <c r="E28" s="19"/>
      <c r="F28" s="19"/>
      <c r="G28" s="19"/>
      <c r="H28" s="143">
        <f>-(286+85+200)</f>
        <v>-571</v>
      </c>
      <c r="I28" s="143"/>
      <c r="J28" s="174"/>
      <c r="K28" s="174"/>
      <c r="L28" s="174"/>
      <c r="M28" s="19"/>
      <c r="N28" s="19"/>
      <c r="O28" s="19"/>
      <c r="P28" s="151"/>
      <c r="Q28" s="149"/>
      <c r="R28" s="19"/>
      <c r="S28" s="19"/>
      <c r="T28" s="19"/>
      <c r="U28" s="42"/>
    </row>
    <row r="29" spans="1:21" ht="11.25" customHeight="1">
      <c r="A29" s="3">
        <v>27</v>
      </c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C30" s="19"/>
      <c r="D30" s="82">
        <v>150</v>
      </c>
      <c r="E30" s="19"/>
      <c r="F30" s="19"/>
      <c r="G30" s="110">
        <v>150</v>
      </c>
      <c r="H30" s="19"/>
      <c r="I30" s="19"/>
      <c r="J30" s="19"/>
      <c r="K30" s="19"/>
      <c r="L30" s="19"/>
      <c r="M30" s="19"/>
      <c r="N30" s="51"/>
      <c r="O30" s="19"/>
      <c r="P30" s="19"/>
      <c r="Q30" s="19"/>
      <c r="R30" s="19"/>
      <c r="S30" s="19"/>
      <c r="T30" s="82">
        <v>150</v>
      </c>
      <c r="U30" s="42"/>
    </row>
    <row r="31" spans="1:21" ht="11.25" customHeight="1">
      <c r="A31" s="3">
        <v>29</v>
      </c>
      <c r="B31" s="41"/>
      <c r="C31" s="19"/>
      <c r="D31" s="19"/>
      <c r="E31" s="143" t="s">
        <v>377</v>
      </c>
      <c r="F31" s="143"/>
      <c r="G31" s="19"/>
      <c r="H31" s="22" t="s">
        <v>378</v>
      </c>
      <c r="I31" s="19"/>
      <c r="J31" s="19"/>
      <c r="K31" s="19"/>
      <c r="L31" s="19"/>
      <c r="M31" s="19"/>
      <c r="N31" s="144">
        <f>J24+1000</f>
        <v>6756</v>
      </c>
      <c r="O31" s="144"/>
      <c r="P31" s="19"/>
      <c r="Q31" s="19"/>
      <c r="R31" s="143" t="s">
        <v>379</v>
      </c>
      <c r="S31" s="143"/>
      <c r="T31" s="19"/>
      <c r="U31" s="42"/>
    </row>
    <row r="32" spans="1:21" ht="11.25" customHeight="1">
      <c r="A32" s="3">
        <v>30</v>
      </c>
      <c r="B32" s="41"/>
      <c r="C32" s="19"/>
      <c r="D32" s="31" t="str">
        <f>E31&amp;" ("</f>
        <v>A (</v>
      </c>
      <c r="E32" s="47">
        <f>E21</f>
        <v>0</v>
      </c>
      <c r="F32" s="47">
        <f>Q25/2-(C25/2+D30)</f>
        <v>-113.5</v>
      </c>
      <c r="G32" s="31" t="str">
        <f>")  "&amp;H31&amp;" ("</f>
        <v>)  E (</v>
      </c>
      <c r="H32" s="47">
        <f>-H28</f>
        <v>571</v>
      </c>
      <c r="I32" s="47">
        <f>-G30</f>
        <v>-150</v>
      </c>
      <c r="J32" s="19" t="s">
        <v>372</v>
      </c>
      <c r="K32" s="31"/>
      <c r="L32" s="47"/>
      <c r="M32" s="47"/>
      <c r="N32" s="19"/>
      <c r="O32" s="19"/>
      <c r="P32" s="19"/>
      <c r="Q32" s="31" t="str">
        <f>R31&amp;" ("</f>
        <v>F (</v>
      </c>
      <c r="R32" s="53">
        <f>IF(R31="***","***",N31)</f>
        <v>6756</v>
      </c>
      <c r="S32" s="47">
        <f>IF(R31="***","***",-T30)</f>
        <v>-150</v>
      </c>
      <c r="T32" s="19" t="s">
        <v>372</v>
      </c>
      <c r="U32" s="42"/>
    </row>
    <row r="33" spans="1:21" ht="11.25" customHeight="1">
      <c r="A33" s="3">
        <v>31</v>
      </c>
      <c r="B33" s="84"/>
      <c r="C33" s="19"/>
      <c r="D33" s="31" t="s">
        <v>371</v>
      </c>
      <c r="E33" s="86">
        <f>S56</f>
        <v>0</v>
      </c>
      <c r="F33" s="86">
        <f>S57</f>
        <v>-0.1682697469932</v>
      </c>
      <c r="G33" s="19" t="s">
        <v>380</v>
      </c>
      <c r="H33" s="86">
        <f>S52</f>
        <v>1.9086194609999996</v>
      </c>
      <c r="I33" s="86">
        <f>S53</f>
        <v>-0.5013886499999999</v>
      </c>
      <c r="J33" s="19" t="s">
        <v>372</v>
      </c>
      <c r="K33" s="19"/>
      <c r="L33" s="19"/>
      <c r="M33" s="19"/>
      <c r="N33" s="19"/>
      <c r="O33" s="19"/>
      <c r="P33" s="19"/>
      <c r="Q33" s="31" t="s">
        <v>371</v>
      </c>
      <c r="R33" s="86">
        <f>IF(R31="***","***",S50)</f>
        <v>22.582544795999997</v>
      </c>
      <c r="S33" s="86">
        <f>IF(R31="***","***",S51)</f>
        <v>-0.5013886499999999</v>
      </c>
      <c r="T33" s="19" t="s">
        <v>372</v>
      </c>
      <c r="U33" s="42"/>
    </row>
    <row r="34" spans="1:21" ht="11.25" customHeight="1">
      <c r="A34" s="3">
        <v>32</v>
      </c>
      <c r="B34" s="41"/>
      <c r="C34" s="19"/>
      <c r="D34" s="19"/>
      <c r="E34" s="19"/>
      <c r="F34" s="19"/>
      <c r="G34" s="19"/>
      <c r="H34" s="19"/>
      <c r="I34" s="19"/>
      <c r="J34" s="19"/>
      <c r="K34" s="19"/>
      <c r="N34" s="112"/>
      <c r="O34" s="19"/>
      <c r="P34" s="112"/>
      <c r="Q34" s="19"/>
      <c r="R34" s="19"/>
      <c r="S34" s="19"/>
      <c r="T34" s="19"/>
      <c r="U34" s="42"/>
    </row>
    <row r="35" spans="1:21" ht="11.25" customHeight="1">
      <c r="A35" s="3">
        <v>33</v>
      </c>
      <c r="B35" s="4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4"/>
    </row>
    <row r="36" spans="1:21" ht="11.25" customHeight="1">
      <c r="A36" s="3">
        <v>34</v>
      </c>
      <c r="B36" s="145" t="s">
        <v>381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ht="11.25" customHeight="1">
      <c r="A37" s="3">
        <v>35</v>
      </c>
      <c r="B37" s="33"/>
      <c r="C37" s="40"/>
      <c r="D37" s="40"/>
      <c r="E37" s="40"/>
      <c r="F37" s="40"/>
      <c r="G37" s="40"/>
      <c r="H37" s="11"/>
      <c r="I37" s="139" t="str">
        <f>B13</f>
        <v> Shell Material</v>
      </c>
      <c r="J37" s="139"/>
      <c r="K37" s="139"/>
      <c r="L37" s="139"/>
      <c r="M37" s="139"/>
      <c r="N37" s="140" t="str">
        <f>L13</f>
        <v> Channel Material</v>
      </c>
      <c r="O37" s="139"/>
      <c r="P37" s="139"/>
      <c r="Q37" s="139"/>
      <c r="R37" s="139"/>
      <c r="S37" s="11"/>
      <c r="T37" s="11"/>
      <c r="U37" s="15"/>
    </row>
    <row r="38" spans="1:21" ht="11.25" customHeight="1">
      <c r="A38" s="3">
        <v>36</v>
      </c>
      <c r="B38" s="129" t="s">
        <v>382</v>
      </c>
      <c r="C38" s="130"/>
      <c r="D38" s="130"/>
      <c r="E38" s="130"/>
      <c r="F38" s="130"/>
      <c r="G38" s="130"/>
      <c r="H38" s="28" t="s">
        <v>383</v>
      </c>
      <c r="I38" s="36" t="s">
        <v>384</v>
      </c>
      <c r="J38" s="11" t="s">
        <v>385</v>
      </c>
      <c r="K38" s="11"/>
      <c r="L38" s="137">
        <f>alphaTEMA(mindex(G13,40),G12,J12)</f>
        <v>13.139999999999999</v>
      </c>
      <c r="M38" s="137"/>
      <c r="N38" s="35" t="s">
        <v>384</v>
      </c>
      <c r="O38" s="11" t="s">
        <v>386</v>
      </c>
      <c r="P38" s="11"/>
      <c r="Q38" s="137">
        <f>alphaTEMA(mindex(Q13,40),Q11,T11)</f>
        <v>12.1167432</v>
      </c>
      <c r="R38" s="137"/>
      <c r="S38" s="7" t="s">
        <v>387</v>
      </c>
      <c r="T38" s="7"/>
      <c r="U38" s="1"/>
    </row>
    <row r="39" spans="1:21" ht="11.25" customHeight="1">
      <c r="A39" s="3">
        <v>37</v>
      </c>
      <c r="B39" s="129"/>
      <c r="C39" s="130"/>
      <c r="D39" s="130"/>
      <c r="E39" s="130"/>
      <c r="F39" s="130"/>
      <c r="G39" s="130"/>
      <c r="H39" s="7"/>
      <c r="I39" s="7"/>
      <c r="J39" s="7"/>
      <c r="K39" s="7"/>
      <c r="L39" s="7"/>
      <c r="M39" s="7"/>
      <c r="N39" s="37" t="s">
        <v>384</v>
      </c>
      <c r="O39" s="7" t="s">
        <v>388</v>
      </c>
      <c r="P39" s="7"/>
      <c r="Q39" s="141">
        <f>alphaTEMA(mindex(Q13,40),Q12,T12)</f>
        <v>12.3963552</v>
      </c>
      <c r="R39" s="141"/>
      <c r="S39" s="7" t="str">
        <f>S38</f>
        <v>mm / mm ℃ / 10^6</v>
      </c>
      <c r="T39" s="7"/>
      <c r="U39" s="1"/>
    </row>
    <row r="40" spans="1:21" ht="11.25" customHeight="1">
      <c r="A40" s="3">
        <v>38</v>
      </c>
      <c r="B40" s="43"/>
      <c r="C40" s="23"/>
      <c r="D40" s="23"/>
      <c r="E40" s="23"/>
      <c r="F40" s="23"/>
      <c r="G40" s="23"/>
      <c r="H40" s="29" t="s">
        <v>389</v>
      </c>
      <c r="I40" s="64" t="s">
        <v>384</v>
      </c>
      <c r="J40" s="8" t="s">
        <v>390</v>
      </c>
      <c r="K40" s="8"/>
      <c r="L40" s="138">
        <f>alphaTEMA(mindex(G13,40),G14,J14)</f>
        <v>11.519999999999998</v>
      </c>
      <c r="M40" s="138"/>
      <c r="N40" s="68" t="s">
        <v>384</v>
      </c>
      <c r="O40" s="17" t="str">
        <f>J40</f>
        <v>Ambient Temp.</v>
      </c>
      <c r="P40" s="17"/>
      <c r="Q40" s="142">
        <f>alphaTEMA(mindex(Q13,40),G14,J14)</f>
        <v>11.519999999999998</v>
      </c>
      <c r="R40" s="142"/>
      <c r="S40" s="8" t="str">
        <f>S38</f>
        <v>mm / mm ℃ / 10^6</v>
      </c>
      <c r="T40" s="8"/>
      <c r="U40" s="12"/>
    </row>
    <row r="41" spans="1:21" ht="11.25" customHeight="1">
      <c r="A41" s="3">
        <v>39</v>
      </c>
      <c r="B41" s="77" t="s">
        <v>391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</row>
    <row r="42" spans="1:21" ht="11.25" customHeight="1">
      <c r="A42" s="3">
        <v>40</v>
      </c>
      <c r="B42" s="41"/>
      <c r="C42" s="45" t="s">
        <v>392</v>
      </c>
      <c r="D42" s="19" t="s">
        <v>393</v>
      </c>
      <c r="E42" s="19" t="s">
        <v>394</v>
      </c>
      <c r="F42" s="19"/>
      <c r="G42" s="19"/>
      <c r="H42" s="19"/>
      <c r="I42" s="19"/>
      <c r="J42" s="19"/>
      <c r="K42" s="31" t="s">
        <v>395</v>
      </c>
      <c r="L42" s="45" t="s">
        <v>396</v>
      </c>
      <c r="M42" s="19" t="s">
        <v>397</v>
      </c>
      <c r="N42" s="19"/>
      <c r="O42" s="19" t="s">
        <v>398</v>
      </c>
      <c r="P42" s="78" t="s">
        <v>399</v>
      </c>
      <c r="Q42" s="19" t="s">
        <v>400</v>
      </c>
      <c r="R42" s="19"/>
      <c r="S42" s="19"/>
      <c r="T42" s="19"/>
      <c r="U42" s="79" t="s">
        <v>401</v>
      </c>
    </row>
    <row r="43" spans="1:21" ht="11.25" customHeight="1">
      <c r="A43" s="3">
        <v>41</v>
      </c>
      <c r="B43" s="43"/>
      <c r="C43" s="23"/>
      <c r="D43" s="23"/>
      <c r="E43" s="23"/>
      <c r="F43" s="23"/>
      <c r="G43" s="23"/>
      <c r="H43" s="23"/>
      <c r="I43" s="23"/>
      <c r="J43" s="23"/>
      <c r="K43" s="23"/>
      <c r="L43" s="102" t="s">
        <v>392</v>
      </c>
      <c r="M43" s="23" t="s">
        <v>402</v>
      </c>
      <c r="N43" s="23"/>
      <c r="O43" s="23" t="s">
        <v>398</v>
      </c>
      <c r="P43" s="23"/>
      <c r="Q43" s="23"/>
      <c r="R43" s="23"/>
      <c r="S43" s="23"/>
      <c r="T43" s="23"/>
      <c r="U43" s="44"/>
    </row>
    <row r="44" spans="1:21" ht="11.25" customHeight="1">
      <c r="A44" s="3">
        <v>42</v>
      </c>
      <c r="B44" s="132" t="s">
        <v>403</v>
      </c>
      <c r="C44" s="123" t="str">
        <f>K22</f>
        <v>C</v>
      </c>
      <c r="D44" s="5" t="s">
        <v>404</v>
      </c>
      <c r="E44" s="5" t="s">
        <v>393</v>
      </c>
      <c r="F44" s="119">
        <f>K21</f>
        <v>5756</v>
      </c>
      <c r="G44" s="119"/>
      <c r="H44" s="38" t="s">
        <v>405</v>
      </c>
      <c r="I44" s="54">
        <f>L38</f>
        <v>13.139999999999999</v>
      </c>
      <c r="J44" s="38" t="s">
        <v>406</v>
      </c>
      <c r="K44" s="54">
        <f>tempconv(G12,J12,"℃")</f>
        <v>263.15</v>
      </c>
      <c r="L44" s="38" t="s">
        <v>407</v>
      </c>
      <c r="M44" s="54">
        <f>L40</f>
        <v>11.519999999999998</v>
      </c>
      <c r="N44" s="38" t="s">
        <v>406</v>
      </c>
      <c r="O44" s="54">
        <f>tempconv(G14,J14,"℃")</f>
        <v>10</v>
      </c>
      <c r="P44" s="55" t="s">
        <v>408</v>
      </c>
      <c r="Q44" s="5"/>
      <c r="R44" s="38" t="s">
        <v>393</v>
      </c>
      <c r="S44" s="126">
        <f aca="true" t="shared" si="0" ref="S44:S55">F44*(I44*K44-M44*O44)/10^6</f>
        <v>19.239953795999995</v>
      </c>
      <c r="T44" s="126"/>
      <c r="U44" s="56" t="s">
        <v>398</v>
      </c>
    </row>
    <row r="45" spans="1:21" ht="11.25" customHeight="1">
      <c r="A45" s="3">
        <v>43</v>
      </c>
      <c r="B45" s="175"/>
      <c r="C45" s="176"/>
      <c r="D45" s="8" t="s">
        <v>409</v>
      </c>
      <c r="E45" s="8" t="s">
        <v>393</v>
      </c>
      <c r="F45" s="128">
        <f>L21</f>
        <v>1035</v>
      </c>
      <c r="G45" s="128"/>
      <c r="H45" s="64" t="s">
        <v>405</v>
      </c>
      <c r="I45" s="65">
        <f>I44</f>
        <v>13.139999999999999</v>
      </c>
      <c r="J45" s="64" t="s">
        <v>406</v>
      </c>
      <c r="K45" s="65">
        <f>K44</f>
        <v>263.15</v>
      </c>
      <c r="L45" s="64" t="s">
        <v>407</v>
      </c>
      <c r="M45" s="65">
        <f>M44</f>
        <v>11.519999999999998</v>
      </c>
      <c r="N45" s="64" t="s">
        <v>406</v>
      </c>
      <c r="O45" s="65">
        <f>O44</f>
        <v>10</v>
      </c>
      <c r="P45" s="66" t="s">
        <v>408</v>
      </c>
      <c r="Q45" s="8"/>
      <c r="R45" s="64" t="s">
        <v>393</v>
      </c>
      <c r="S45" s="127">
        <f t="shared" si="0"/>
        <v>3.4595816849999994</v>
      </c>
      <c r="T45" s="127"/>
      <c r="U45" s="67" t="s">
        <v>398</v>
      </c>
    </row>
    <row r="46" spans="1:21" ht="11.25" customHeight="1">
      <c r="A46" s="3">
        <v>44</v>
      </c>
      <c r="B46" s="132" t="s">
        <v>403</v>
      </c>
      <c r="C46" s="123" t="str">
        <f>N22</f>
        <v>***</v>
      </c>
      <c r="D46" s="11" t="s">
        <v>404</v>
      </c>
      <c r="E46" s="11" t="s">
        <v>393</v>
      </c>
      <c r="F46" s="131" t="str">
        <f>O21</f>
        <v>***</v>
      </c>
      <c r="G46" s="131"/>
      <c r="H46" s="36" t="s">
        <v>405</v>
      </c>
      <c r="I46" s="57">
        <f>L38</f>
        <v>13.139999999999999</v>
      </c>
      <c r="J46" s="36" t="s">
        <v>406</v>
      </c>
      <c r="K46" s="57">
        <f>tempconv(G12,J12,"℃")</f>
        <v>263.15</v>
      </c>
      <c r="L46" s="36" t="s">
        <v>407</v>
      </c>
      <c r="M46" s="57">
        <f>L40</f>
        <v>11.519999999999998</v>
      </c>
      <c r="N46" s="36" t="s">
        <v>406</v>
      </c>
      <c r="O46" s="57">
        <f>tempconv(G14,J14,"℃")</f>
        <v>10</v>
      </c>
      <c r="P46" s="58" t="s">
        <v>408</v>
      </c>
      <c r="Q46" s="11"/>
      <c r="R46" s="36" t="s">
        <v>393</v>
      </c>
      <c r="S46" s="133" t="str">
        <f>IF(C46="***","***",F46*(I46*K46-M46*O46)/10^6)</f>
        <v>***</v>
      </c>
      <c r="T46" s="133"/>
      <c r="U46" s="59" t="s">
        <v>398</v>
      </c>
    </row>
    <row r="47" spans="1:21" ht="11.25" customHeight="1">
      <c r="A47" s="3">
        <v>45</v>
      </c>
      <c r="B47" s="118"/>
      <c r="C47" s="124"/>
      <c r="D47" s="17" t="s">
        <v>409</v>
      </c>
      <c r="E47" s="17" t="s">
        <v>393</v>
      </c>
      <c r="F47" s="125" t="str">
        <f>P21</f>
        <v>***</v>
      </c>
      <c r="G47" s="125"/>
      <c r="H47" s="60" t="s">
        <v>405</v>
      </c>
      <c r="I47" s="61">
        <f>I46</f>
        <v>13.139999999999999</v>
      </c>
      <c r="J47" s="60" t="s">
        <v>406</v>
      </c>
      <c r="K47" s="61">
        <f>K46</f>
        <v>263.15</v>
      </c>
      <c r="L47" s="60" t="s">
        <v>407</v>
      </c>
      <c r="M47" s="61">
        <f>M46</f>
        <v>11.519999999999998</v>
      </c>
      <c r="N47" s="60" t="s">
        <v>406</v>
      </c>
      <c r="O47" s="61">
        <f>O46</f>
        <v>10</v>
      </c>
      <c r="P47" s="62" t="s">
        <v>408</v>
      </c>
      <c r="Q47" s="17"/>
      <c r="R47" s="60" t="s">
        <v>393</v>
      </c>
      <c r="S47" s="122" t="str">
        <f>IF(C46="***","***",F47*(I47*K47-M47*O47)/10^6)</f>
        <v>***</v>
      </c>
      <c r="T47" s="122"/>
      <c r="U47" s="63" t="s">
        <v>398</v>
      </c>
    </row>
    <row r="48" spans="1:21" ht="11.25" customHeight="1">
      <c r="A48" s="3">
        <v>46</v>
      </c>
      <c r="B48" s="132" t="s">
        <v>403</v>
      </c>
      <c r="C48" s="123" t="str">
        <f>S22</f>
        <v>***</v>
      </c>
      <c r="D48" s="11" t="s">
        <v>404</v>
      </c>
      <c r="E48" s="11" t="s">
        <v>393</v>
      </c>
      <c r="F48" s="131" t="str">
        <f>S21</f>
        <v>***</v>
      </c>
      <c r="G48" s="131"/>
      <c r="H48" s="36" t="s">
        <v>405</v>
      </c>
      <c r="I48" s="57">
        <f>L38</f>
        <v>13.139999999999999</v>
      </c>
      <c r="J48" s="36" t="s">
        <v>406</v>
      </c>
      <c r="K48" s="57">
        <f>tempconv(G12,J12,"℃")</f>
        <v>263.15</v>
      </c>
      <c r="L48" s="36" t="s">
        <v>407</v>
      </c>
      <c r="M48" s="57">
        <f>L40</f>
        <v>11.519999999999998</v>
      </c>
      <c r="N48" s="36" t="s">
        <v>406</v>
      </c>
      <c r="O48" s="57">
        <f>tempconv(G14,J14,"℃")</f>
        <v>10</v>
      </c>
      <c r="P48" s="58" t="s">
        <v>408</v>
      </c>
      <c r="Q48" s="11"/>
      <c r="R48" s="36" t="s">
        <v>393</v>
      </c>
      <c r="S48" s="133" t="str">
        <f>IF(C48="***","***",F48*(I48*K48-M48*O48)/10^6)</f>
        <v>***</v>
      </c>
      <c r="T48" s="133"/>
      <c r="U48" s="59" t="s">
        <v>398</v>
      </c>
    </row>
    <row r="49" spans="1:21" ht="11.25" customHeight="1">
      <c r="A49" s="3">
        <v>47</v>
      </c>
      <c r="B49" s="118"/>
      <c r="C49" s="124"/>
      <c r="D49" s="17" t="s">
        <v>409</v>
      </c>
      <c r="E49" s="17" t="s">
        <v>393</v>
      </c>
      <c r="F49" s="125" t="str">
        <f>T21</f>
        <v>***</v>
      </c>
      <c r="G49" s="125"/>
      <c r="H49" s="60" t="s">
        <v>405</v>
      </c>
      <c r="I49" s="61">
        <f>I48</f>
        <v>13.139999999999999</v>
      </c>
      <c r="J49" s="60" t="s">
        <v>406</v>
      </c>
      <c r="K49" s="61">
        <f>K48</f>
        <v>263.15</v>
      </c>
      <c r="L49" s="60" t="s">
        <v>407</v>
      </c>
      <c r="M49" s="61">
        <f>M48</f>
        <v>11.519999999999998</v>
      </c>
      <c r="N49" s="60" t="s">
        <v>406</v>
      </c>
      <c r="O49" s="61">
        <f>O48</f>
        <v>10</v>
      </c>
      <c r="P49" s="62" t="s">
        <v>408</v>
      </c>
      <c r="Q49" s="17"/>
      <c r="R49" s="60" t="s">
        <v>393</v>
      </c>
      <c r="S49" s="122" t="str">
        <f>IF(C48="***","***",F49*(I49*K49-M49*O49)/10^6)</f>
        <v>***</v>
      </c>
      <c r="T49" s="122"/>
      <c r="U49" s="63" t="s">
        <v>398</v>
      </c>
    </row>
    <row r="50" spans="1:21" ht="11.25" customHeight="1">
      <c r="A50" s="3">
        <v>48</v>
      </c>
      <c r="B50" s="132" t="s">
        <v>403</v>
      </c>
      <c r="C50" s="123" t="str">
        <f>R31</f>
        <v>F</v>
      </c>
      <c r="D50" s="11" t="s">
        <v>404</v>
      </c>
      <c r="E50" s="11" t="s">
        <v>393</v>
      </c>
      <c r="F50" s="131">
        <f>R32</f>
        <v>6756</v>
      </c>
      <c r="G50" s="131"/>
      <c r="H50" s="36" t="s">
        <v>405</v>
      </c>
      <c r="I50" s="57">
        <f>L38</f>
        <v>13.139999999999999</v>
      </c>
      <c r="J50" s="36" t="s">
        <v>406</v>
      </c>
      <c r="K50" s="57">
        <f>tempconv(G12,J12,"℃")</f>
        <v>263.15</v>
      </c>
      <c r="L50" s="36" t="s">
        <v>407</v>
      </c>
      <c r="M50" s="57">
        <f>L40</f>
        <v>11.519999999999998</v>
      </c>
      <c r="N50" s="36" t="s">
        <v>406</v>
      </c>
      <c r="O50" s="57">
        <f>tempconv(G14,J14,"℃")</f>
        <v>10</v>
      </c>
      <c r="P50" s="58" t="s">
        <v>408</v>
      </c>
      <c r="Q50" s="11"/>
      <c r="R50" s="36" t="s">
        <v>393</v>
      </c>
      <c r="S50" s="133">
        <f>IF(C50="***","***",F50*(I50*K50-M50*O50)/10^6)</f>
        <v>22.582544795999997</v>
      </c>
      <c r="T50" s="133"/>
      <c r="U50" s="59" t="s">
        <v>398</v>
      </c>
    </row>
    <row r="51" spans="1:21" ht="11.25" customHeight="1">
      <c r="A51" s="3">
        <v>49</v>
      </c>
      <c r="B51" s="118"/>
      <c r="C51" s="124"/>
      <c r="D51" s="17" t="s">
        <v>409</v>
      </c>
      <c r="E51" s="17" t="s">
        <v>393</v>
      </c>
      <c r="F51" s="125">
        <f>S32</f>
        <v>-150</v>
      </c>
      <c r="G51" s="125"/>
      <c r="H51" s="60" t="s">
        <v>405</v>
      </c>
      <c r="I51" s="61">
        <f>I50</f>
        <v>13.139999999999999</v>
      </c>
      <c r="J51" s="60" t="s">
        <v>406</v>
      </c>
      <c r="K51" s="61">
        <f>K50</f>
        <v>263.15</v>
      </c>
      <c r="L51" s="60" t="s">
        <v>407</v>
      </c>
      <c r="M51" s="61">
        <f>M50</f>
        <v>11.519999999999998</v>
      </c>
      <c r="N51" s="60" t="s">
        <v>406</v>
      </c>
      <c r="O51" s="61">
        <f>O50</f>
        <v>10</v>
      </c>
      <c r="P51" s="62" t="s">
        <v>408</v>
      </c>
      <c r="Q51" s="17"/>
      <c r="R51" s="60" t="s">
        <v>393</v>
      </c>
      <c r="S51" s="122">
        <f>IF(C50="***","***",F51*(I51*K51-M51*O51)/10^6)</f>
        <v>-0.5013886499999999</v>
      </c>
      <c r="T51" s="122"/>
      <c r="U51" s="63" t="s">
        <v>398</v>
      </c>
    </row>
    <row r="52" spans="1:21" ht="11.25" customHeight="1">
      <c r="A52" s="3">
        <v>50</v>
      </c>
      <c r="B52" s="132" t="s">
        <v>403</v>
      </c>
      <c r="C52" s="123" t="str">
        <f>H31</f>
        <v>E</v>
      </c>
      <c r="D52" s="11" t="s">
        <v>404</v>
      </c>
      <c r="E52" s="11" t="s">
        <v>393</v>
      </c>
      <c r="F52" s="131">
        <f>H32</f>
        <v>571</v>
      </c>
      <c r="G52" s="131"/>
      <c r="H52" s="36" t="s">
        <v>405</v>
      </c>
      <c r="I52" s="57">
        <f>L38</f>
        <v>13.139999999999999</v>
      </c>
      <c r="J52" s="36" t="s">
        <v>406</v>
      </c>
      <c r="K52" s="57">
        <f>tempconv(G12,J12,"℃")</f>
        <v>263.15</v>
      </c>
      <c r="L52" s="36" t="s">
        <v>407</v>
      </c>
      <c r="M52" s="57">
        <f>L40</f>
        <v>11.519999999999998</v>
      </c>
      <c r="N52" s="36" t="s">
        <v>406</v>
      </c>
      <c r="O52" s="57">
        <f>tempconv(G14,J14,"℃")</f>
        <v>10</v>
      </c>
      <c r="P52" s="58" t="s">
        <v>408</v>
      </c>
      <c r="Q52" s="11"/>
      <c r="R52" s="36" t="s">
        <v>393</v>
      </c>
      <c r="S52" s="133">
        <f t="shared" si="0"/>
        <v>1.9086194609999996</v>
      </c>
      <c r="T52" s="133"/>
      <c r="U52" s="59" t="s">
        <v>398</v>
      </c>
    </row>
    <row r="53" spans="1:21" ht="11.25" customHeight="1">
      <c r="A53" s="3">
        <v>51</v>
      </c>
      <c r="B53" s="118"/>
      <c r="C53" s="124"/>
      <c r="D53" s="17" t="s">
        <v>409</v>
      </c>
      <c r="E53" s="17" t="s">
        <v>393</v>
      </c>
      <c r="F53" s="125">
        <f>I32</f>
        <v>-150</v>
      </c>
      <c r="G53" s="125"/>
      <c r="H53" s="60" t="s">
        <v>405</v>
      </c>
      <c r="I53" s="61">
        <f>I52</f>
        <v>13.139999999999999</v>
      </c>
      <c r="J53" s="60" t="s">
        <v>406</v>
      </c>
      <c r="K53" s="61">
        <f>K52</f>
        <v>263.15</v>
      </c>
      <c r="L53" s="60" t="s">
        <v>407</v>
      </c>
      <c r="M53" s="61">
        <f>M52</f>
        <v>11.519999999999998</v>
      </c>
      <c r="N53" s="60" t="s">
        <v>406</v>
      </c>
      <c r="O53" s="61">
        <f>O52</f>
        <v>10</v>
      </c>
      <c r="P53" s="62" t="s">
        <v>408</v>
      </c>
      <c r="Q53" s="17"/>
      <c r="R53" s="60" t="s">
        <v>393</v>
      </c>
      <c r="S53" s="122">
        <f t="shared" si="0"/>
        <v>-0.5013886499999999</v>
      </c>
      <c r="T53" s="122"/>
      <c r="U53" s="63" t="s">
        <v>398</v>
      </c>
    </row>
    <row r="54" spans="1:21" ht="11.25" customHeight="1">
      <c r="A54" s="3">
        <v>52</v>
      </c>
      <c r="B54" s="33"/>
      <c r="C54" s="69"/>
      <c r="D54" s="11" t="s">
        <v>410</v>
      </c>
      <c r="E54" s="11" t="s">
        <v>393</v>
      </c>
      <c r="F54" s="131">
        <f>F58</f>
        <v>286</v>
      </c>
      <c r="G54" s="131"/>
      <c r="H54" s="36" t="s">
        <v>405</v>
      </c>
      <c r="I54" s="57">
        <f>IF(G26&gt;=0,L38,Q38)</f>
        <v>12.1167432</v>
      </c>
      <c r="J54" s="36" t="s">
        <v>406</v>
      </c>
      <c r="K54" s="57">
        <f>IF(G26&gt;=0,tempconv(G12,J12,"℃"),tempconv(Q11,T11,"℃"))</f>
        <v>102.09</v>
      </c>
      <c r="L54" s="36" t="s">
        <v>407</v>
      </c>
      <c r="M54" s="57">
        <f>M58</f>
        <v>11.519999999999998</v>
      </c>
      <c r="N54" s="36" t="s">
        <v>406</v>
      </c>
      <c r="O54" s="57">
        <f>O58</f>
        <v>10</v>
      </c>
      <c r="P54" s="58" t="s">
        <v>408</v>
      </c>
      <c r="Q54" s="11"/>
      <c r="R54" s="36" t="s">
        <v>393</v>
      </c>
      <c r="S54" s="135">
        <f t="shared" si="0"/>
        <v>0.320834317600368</v>
      </c>
      <c r="T54" s="135"/>
      <c r="U54" s="59" t="s">
        <v>398</v>
      </c>
    </row>
    <row r="55" spans="1:21" ht="11.25" customHeight="1">
      <c r="A55" s="3">
        <v>53</v>
      </c>
      <c r="B55" s="41" t="s">
        <v>403</v>
      </c>
      <c r="C55" s="45" t="str">
        <f>E31</f>
        <v>A</v>
      </c>
      <c r="D55" s="7" t="s">
        <v>411</v>
      </c>
      <c r="E55" s="7" t="s">
        <v>393</v>
      </c>
      <c r="F55" s="120">
        <f>F59</f>
        <v>-286</v>
      </c>
      <c r="G55" s="120"/>
      <c r="H55" s="32" t="s">
        <v>405</v>
      </c>
      <c r="I55" s="48">
        <f>Q38</f>
        <v>12.1167432</v>
      </c>
      <c r="J55" s="32" t="s">
        <v>406</v>
      </c>
      <c r="K55" s="48">
        <f>tempconv(Q11,T11,"℃")</f>
        <v>102.09</v>
      </c>
      <c r="L55" s="32" t="s">
        <v>407</v>
      </c>
      <c r="M55" s="48">
        <f>M59</f>
        <v>11.519999999999998</v>
      </c>
      <c r="N55" s="32" t="s">
        <v>406</v>
      </c>
      <c r="O55" s="48">
        <f>O59</f>
        <v>10</v>
      </c>
      <c r="P55" s="50" t="s">
        <v>408</v>
      </c>
      <c r="Q55" s="7"/>
      <c r="R55" s="32" t="s">
        <v>393</v>
      </c>
      <c r="S55" s="121">
        <f t="shared" si="0"/>
        <v>-0.320834317600368</v>
      </c>
      <c r="T55" s="121"/>
      <c r="U55" s="49" t="s">
        <v>398</v>
      </c>
    </row>
    <row r="56" spans="1:21" ht="11.25" customHeight="1">
      <c r="A56" s="3">
        <v>54</v>
      </c>
      <c r="B56" s="41"/>
      <c r="C56" s="19"/>
      <c r="D56" s="8" t="s">
        <v>404</v>
      </c>
      <c r="E56" s="8" t="s">
        <v>393</v>
      </c>
      <c r="F56" s="64" t="s">
        <v>410</v>
      </c>
      <c r="G56" s="64" t="s">
        <v>412</v>
      </c>
      <c r="H56" s="64" t="s">
        <v>411</v>
      </c>
      <c r="I56" s="8"/>
      <c r="J56" s="8"/>
      <c r="K56" s="8"/>
      <c r="L56" s="8"/>
      <c r="M56" s="8"/>
      <c r="N56" s="8"/>
      <c r="O56" s="8"/>
      <c r="P56" s="8"/>
      <c r="Q56" s="8"/>
      <c r="R56" s="64" t="s">
        <v>393</v>
      </c>
      <c r="S56" s="127">
        <f>S54+S55</f>
        <v>0</v>
      </c>
      <c r="T56" s="127"/>
      <c r="U56" s="67" t="s">
        <v>398</v>
      </c>
    </row>
    <row r="57" spans="1:21" ht="11.25" customHeight="1">
      <c r="A57" s="3">
        <v>55</v>
      </c>
      <c r="B57" s="43"/>
      <c r="C57" s="23"/>
      <c r="D57" s="70" t="s">
        <v>409</v>
      </c>
      <c r="E57" s="70" t="s">
        <v>393</v>
      </c>
      <c r="F57" s="136">
        <f>-D30</f>
        <v>-150</v>
      </c>
      <c r="G57" s="136"/>
      <c r="H57" s="71" t="s">
        <v>405</v>
      </c>
      <c r="I57" s="72">
        <f>I55</f>
        <v>12.1167432</v>
      </c>
      <c r="J57" s="71" t="s">
        <v>406</v>
      </c>
      <c r="K57" s="72">
        <f>K55</f>
        <v>102.09</v>
      </c>
      <c r="L57" s="71" t="s">
        <v>407</v>
      </c>
      <c r="M57" s="72">
        <f>M55</f>
        <v>11.519999999999998</v>
      </c>
      <c r="N57" s="71" t="s">
        <v>406</v>
      </c>
      <c r="O57" s="72">
        <f>O55</f>
        <v>10</v>
      </c>
      <c r="P57" s="73" t="s">
        <v>408</v>
      </c>
      <c r="Q57" s="70"/>
      <c r="R57" s="71" t="s">
        <v>393</v>
      </c>
      <c r="S57" s="117">
        <f>F57*(I57*K57-M57*O57)/10^6</f>
        <v>-0.1682697469932</v>
      </c>
      <c r="T57" s="117"/>
      <c r="U57" s="74" t="s">
        <v>398</v>
      </c>
    </row>
    <row r="58" spans="1:21" ht="11.25" customHeight="1">
      <c r="A58" s="3">
        <v>56</v>
      </c>
      <c r="B58" s="33"/>
      <c r="C58" s="69"/>
      <c r="D58" s="5" t="s">
        <v>410</v>
      </c>
      <c r="E58" s="5" t="s">
        <v>393</v>
      </c>
      <c r="F58" s="119">
        <f>-G26</f>
        <v>286</v>
      </c>
      <c r="G58" s="119"/>
      <c r="H58" s="38" t="s">
        <v>405</v>
      </c>
      <c r="I58" s="54">
        <f>IF(G26&gt;=0,L38,Q39)</f>
        <v>12.3963552</v>
      </c>
      <c r="J58" s="38" t="s">
        <v>406</v>
      </c>
      <c r="K58" s="54">
        <f>IF(G26&gt;=0,tempconv(G12,J12,"℃"),tempconv(Q12,T12,"℃"))</f>
        <v>145.24</v>
      </c>
      <c r="L58" s="38" t="s">
        <v>407</v>
      </c>
      <c r="M58" s="54">
        <f>IF(G26&gt;=0,L40,Q40)</f>
        <v>11.519999999999998</v>
      </c>
      <c r="N58" s="38" t="s">
        <v>406</v>
      </c>
      <c r="O58" s="54">
        <f>tempconv(G14,J14,"℃")</f>
        <v>10</v>
      </c>
      <c r="P58" s="55" t="s">
        <v>408</v>
      </c>
      <c r="Q58" s="5"/>
      <c r="R58" s="38" t="s">
        <v>393</v>
      </c>
      <c r="S58" s="134">
        <f>F58*(I58*K58-M58*O58)/10^6</f>
        <v>0.48198053596492807</v>
      </c>
      <c r="T58" s="134"/>
      <c r="U58" s="56" t="s">
        <v>398</v>
      </c>
    </row>
    <row r="59" spans="1:21" ht="11.25" customHeight="1">
      <c r="A59" s="3">
        <v>57</v>
      </c>
      <c r="B59" s="41"/>
      <c r="C59" s="19"/>
      <c r="D59" s="7" t="s">
        <v>411</v>
      </c>
      <c r="E59" s="7" t="s">
        <v>393</v>
      </c>
      <c r="F59" s="120">
        <f>-F26</f>
        <v>-286</v>
      </c>
      <c r="G59" s="120"/>
      <c r="H59" s="32" t="s">
        <v>405</v>
      </c>
      <c r="I59" s="48">
        <f>Q39</f>
        <v>12.3963552</v>
      </c>
      <c r="J59" s="32" t="s">
        <v>406</v>
      </c>
      <c r="K59" s="48">
        <f>tempconv(Q12,T12,"℃")</f>
        <v>145.24</v>
      </c>
      <c r="L59" s="32" t="s">
        <v>407</v>
      </c>
      <c r="M59" s="48">
        <f>Q40</f>
        <v>11.519999999999998</v>
      </c>
      <c r="N59" s="32" t="s">
        <v>406</v>
      </c>
      <c r="O59" s="48">
        <f>tempconv(G14,J14,"℃")</f>
        <v>10</v>
      </c>
      <c r="P59" s="50" t="s">
        <v>408</v>
      </c>
      <c r="Q59" s="7"/>
      <c r="R59" s="32" t="s">
        <v>393</v>
      </c>
      <c r="S59" s="121">
        <f>F59*(I59*K59-M59*O59)/10^6</f>
        <v>-0.48198053596492807</v>
      </c>
      <c r="T59" s="121"/>
      <c r="U59" s="49" t="s">
        <v>398</v>
      </c>
    </row>
    <row r="60" spans="1:21" ht="11.25" customHeight="1">
      <c r="A60" s="3">
        <v>58</v>
      </c>
      <c r="B60" s="41" t="s">
        <v>403</v>
      </c>
      <c r="C60" s="45" t="str">
        <f>E22</f>
        <v>B</v>
      </c>
      <c r="D60" s="8" t="s">
        <v>404</v>
      </c>
      <c r="E60" s="8" t="s">
        <v>393</v>
      </c>
      <c r="F60" s="64" t="s">
        <v>410</v>
      </c>
      <c r="G60" s="64" t="s">
        <v>412</v>
      </c>
      <c r="H60" s="64" t="s">
        <v>411</v>
      </c>
      <c r="I60" s="8"/>
      <c r="J60" s="8"/>
      <c r="K60" s="8"/>
      <c r="L60" s="8"/>
      <c r="M60" s="8"/>
      <c r="N60" s="8"/>
      <c r="O60" s="8"/>
      <c r="P60" s="8"/>
      <c r="Q60" s="8"/>
      <c r="R60" s="64" t="s">
        <v>393</v>
      </c>
      <c r="S60" s="127">
        <f>S58+S59</f>
        <v>0</v>
      </c>
      <c r="T60" s="127"/>
      <c r="U60" s="67" t="s">
        <v>398</v>
      </c>
    </row>
    <row r="61" spans="1:21" ht="11.25" customHeight="1">
      <c r="A61" s="3">
        <v>59</v>
      </c>
      <c r="B61" s="41"/>
      <c r="C61" s="19"/>
      <c r="D61" s="11" t="s">
        <v>518</v>
      </c>
      <c r="E61" s="11" t="s">
        <v>393</v>
      </c>
      <c r="F61" s="131">
        <f>C25/2</f>
        <v>406</v>
      </c>
      <c r="G61" s="131"/>
      <c r="H61" s="36" t="s">
        <v>405</v>
      </c>
      <c r="I61" s="57">
        <f>I57</f>
        <v>12.1167432</v>
      </c>
      <c r="J61" s="36" t="s">
        <v>406</v>
      </c>
      <c r="K61" s="57">
        <f>K57</f>
        <v>102.09</v>
      </c>
      <c r="L61" s="36" t="s">
        <v>407</v>
      </c>
      <c r="M61" s="57">
        <f>M58</f>
        <v>11.519999999999998</v>
      </c>
      <c r="N61" s="36" t="s">
        <v>406</v>
      </c>
      <c r="O61" s="57">
        <f>O58</f>
        <v>10</v>
      </c>
      <c r="P61" s="58" t="s">
        <v>408</v>
      </c>
      <c r="Q61" s="11"/>
      <c r="R61" s="36" t="s">
        <v>393</v>
      </c>
      <c r="S61" s="135">
        <f>F61*(I61*K61-M61*O61)/10^6</f>
        <v>0.45545011519492795</v>
      </c>
      <c r="T61" s="135"/>
      <c r="U61" s="59" t="s">
        <v>398</v>
      </c>
    </row>
    <row r="62" spans="1:21" ht="11.25" customHeight="1">
      <c r="A62" s="16">
        <v>60</v>
      </c>
      <c r="B62" s="41"/>
      <c r="C62" s="19"/>
      <c r="D62" s="7" t="s">
        <v>519</v>
      </c>
      <c r="E62" s="7" t="s">
        <v>393</v>
      </c>
      <c r="F62" s="120">
        <f>C25/2+D23</f>
        <v>556</v>
      </c>
      <c r="G62" s="120"/>
      <c r="H62" s="32" t="s">
        <v>405</v>
      </c>
      <c r="I62" s="48">
        <f>I59</f>
        <v>12.3963552</v>
      </c>
      <c r="J62" s="32" t="s">
        <v>406</v>
      </c>
      <c r="K62" s="48">
        <f>K59</f>
        <v>145.24</v>
      </c>
      <c r="L62" s="32" t="s">
        <v>407</v>
      </c>
      <c r="M62" s="48">
        <f>M59</f>
        <v>11.519999999999998</v>
      </c>
      <c r="N62" s="32" t="s">
        <v>406</v>
      </c>
      <c r="O62" s="48">
        <f>O59</f>
        <v>10</v>
      </c>
      <c r="P62" s="50" t="s">
        <v>408</v>
      </c>
      <c r="Q62" s="7"/>
      <c r="R62" s="32" t="s">
        <v>393</v>
      </c>
      <c r="S62" s="121">
        <f>F62*(I62*K62-M62*O62)/10^6</f>
        <v>0.9369971258618881</v>
      </c>
      <c r="T62" s="121"/>
      <c r="U62" s="49" t="s">
        <v>398</v>
      </c>
    </row>
    <row r="63" spans="1:21" ht="11.25" customHeight="1">
      <c r="A63" s="3">
        <v>61</v>
      </c>
      <c r="B63" s="43"/>
      <c r="C63" s="23"/>
      <c r="D63" s="17" t="s">
        <v>409</v>
      </c>
      <c r="E63" s="17" t="s">
        <v>393</v>
      </c>
      <c r="F63" s="60" t="str">
        <f>D61</f>
        <v>Δzci</v>
      </c>
      <c r="G63" s="60" t="s">
        <v>412</v>
      </c>
      <c r="H63" s="60" t="str">
        <f>D62</f>
        <v>Δzco</v>
      </c>
      <c r="I63" s="17"/>
      <c r="J63" s="17"/>
      <c r="K63" s="17"/>
      <c r="L63" s="17"/>
      <c r="M63" s="17"/>
      <c r="N63" s="17"/>
      <c r="O63" s="17"/>
      <c r="P63" s="17"/>
      <c r="Q63" s="17"/>
      <c r="R63" s="60" t="s">
        <v>393</v>
      </c>
      <c r="S63" s="122">
        <f>S61+S62</f>
        <v>1.392447241056816</v>
      </c>
      <c r="T63" s="122"/>
      <c r="U63" s="63" t="s">
        <v>398</v>
      </c>
    </row>
    <row r="64" spans="1:21" ht="11.25" customHeight="1">
      <c r="A64" s="3">
        <v>62</v>
      </c>
      <c r="B64" s="14" t="s">
        <v>413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5"/>
    </row>
    <row r="65" spans="1:21" ht="11.25" customHeight="1">
      <c r="A65" s="3">
        <v>63</v>
      </c>
      <c r="B65" s="104" t="s">
        <v>414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</row>
    <row r="66" spans="1:21" ht="11.25" customHeight="1">
      <c r="A66" s="3">
        <v>64</v>
      </c>
      <c r="B66" s="104" t="s">
        <v>231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</row>
    <row r="67" spans="1:21" ht="11.25" customHeight="1">
      <c r="A67" s="3">
        <v>65</v>
      </c>
      <c r="B67" s="105" t="s">
        <v>232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</row>
    <row r="68" spans="1:21" ht="11.25" customHeight="1">
      <c r="A68" s="3"/>
      <c r="B68" s="22" t="s">
        <v>536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09" t="s">
        <v>537</v>
      </c>
    </row>
    <row r="69" ht="11.25" customHeight="1">
      <c r="A69" s="3"/>
    </row>
    <row r="70" ht="11.25" customHeight="1">
      <c r="A70" s="3"/>
    </row>
  </sheetData>
  <mergeCells count="94">
    <mergeCell ref="B48:B49"/>
    <mergeCell ref="N31:O31"/>
    <mergeCell ref="J24:K24"/>
    <mergeCell ref="K22:L22"/>
    <mergeCell ref="M24:N24"/>
    <mergeCell ref="N22:O22"/>
    <mergeCell ref="B46:B47"/>
    <mergeCell ref="C46:C47"/>
    <mergeCell ref="F46:G46"/>
    <mergeCell ref="F47:G47"/>
    <mergeCell ref="S62:T62"/>
    <mergeCell ref="B52:B53"/>
    <mergeCell ref="C44:C45"/>
    <mergeCell ref="B38:G39"/>
    <mergeCell ref="F52:G52"/>
    <mergeCell ref="F50:G50"/>
    <mergeCell ref="B44:B45"/>
    <mergeCell ref="F44:G44"/>
    <mergeCell ref="B50:B51"/>
    <mergeCell ref="F51:G51"/>
    <mergeCell ref="S63:T63"/>
    <mergeCell ref="F54:G54"/>
    <mergeCell ref="S54:T54"/>
    <mergeCell ref="F55:G55"/>
    <mergeCell ref="S55:T55"/>
    <mergeCell ref="S60:T60"/>
    <mergeCell ref="S56:T56"/>
    <mergeCell ref="F61:G61"/>
    <mergeCell ref="S61:T61"/>
    <mergeCell ref="F62:G62"/>
    <mergeCell ref="F57:G57"/>
    <mergeCell ref="S57:T57"/>
    <mergeCell ref="C50:C51"/>
    <mergeCell ref="C52:C53"/>
    <mergeCell ref="S51:T51"/>
    <mergeCell ref="F59:G59"/>
    <mergeCell ref="S59:T59"/>
    <mergeCell ref="S44:T44"/>
    <mergeCell ref="S45:T45"/>
    <mergeCell ref="F45:G45"/>
    <mergeCell ref="S52:T52"/>
    <mergeCell ref="F53:G53"/>
    <mergeCell ref="S53:T53"/>
    <mergeCell ref="F58:G58"/>
    <mergeCell ref="S58:T58"/>
    <mergeCell ref="R31:S31"/>
    <mergeCell ref="N37:R37"/>
    <mergeCell ref="S50:T50"/>
    <mergeCell ref="S46:T46"/>
    <mergeCell ref="S47:T47"/>
    <mergeCell ref="P25:P28"/>
    <mergeCell ref="L38:M38"/>
    <mergeCell ref="H28:I28"/>
    <mergeCell ref="B25:B28"/>
    <mergeCell ref="C25:C28"/>
    <mergeCell ref="I37:M37"/>
    <mergeCell ref="E31:F31"/>
    <mergeCell ref="G26:I26"/>
    <mergeCell ref="L40:M40"/>
    <mergeCell ref="B36:U36"/>
    <mergeCell ref="B19:U19"/>
    <mergeCell ref="Q38:R38"/>
    <mergeCell ref="Q39:R39"/>
    <mergeCell ref="Q40:R40"/>
    <mergeCell ref="E22:F22"/>
    <mergeCell ref="Q25:Q28"/>
    <mergeCell ref="S22:T22"/>
    <mergeCell ref="J28:L28"/>
    <mergeCell ref="X11:AA11"/>
    <mergeCell ref="AB11:AE11"/>
    <mergeCell ref="B9:K9"/>
    <mergeCell ref="L9:U9"/>
    <mergeCell ref="X9:AA9"/>
    <mergeCell ref="AB9:AE9"/>
    <mergeCell ref="X10:AA10"/>
    <mergeCell ref="AB10:AE10"/>
    <mergeCell ref="G10:I10"/>
    <mergeCell ref="Q10:S10"/>
    <mergeCell ref="R7:U7"/>
    <mergeCell ref="B8:U8"/>
    <mergeCell ref="B15:U15"/>
    <mergeCell ref="G12:I12"/>
    <mergeCell ref="Q11:S11"/>
    <mergeCell ref="Q12:S12"/>
    <mergeCell ref="G14:I14"/>
    <mergeCell ref="B1:U2"/>
    <mergeCell ref="R3:U3"/>
    <mergeCell ref="R4:U4"/>
    <mergeCell ref="R5:U5"/>
    <mergeCell ref="C48:C49"/>
    <mergeCell ref="F48:G48"/>
    <mergeCell ref="S48:T48"/>
    <mergeCell ref="F49:G49"/>
    <mergeCell ref="S49:T49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70"/>
  <sheetViews>
    <sheetView zoomScaleSheetLayoutView="100" workbookViewId="0" topLeftCell="A1">
      <selection activeCell="O7" sqref="O7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65" t="s">
        <v>424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425</v>
      </c>
      <c r="C3" s="5"/>
      <c r="D3" s="5"/>
      <c r="E3" s="108" t="s">
        <v>426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427</v>
      </c>
      <c r="Q3" s="11"/>
      <c r="R3" s="171" t="s">
        <v>428</v>
      </c>
      <c r="S3" s="171"/>
      <c r="T3" s="171"/>
      <c r="U3" s="172"/>
    </row>
    <row r="4" spans="1:24" ht="11.25" customHeight="1">
      <c r="A4" s="3">
        <v>2</v>
      </c>
      <c r="B4" s="6" t="s">
        <v>429</v>
      </c>
      <c r="C4" s="7"/>
      <c r="D4" s="7"/>
      <c r="E4" s="20" t="s">
        <v>430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431</v>
      </c>
      <c r="Q4" s="7"/>
      <c r="R4" s="153" t="s">
        <v>432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433</v>
      </c>
      <c r="C5" s="7"/>
      <c r="D5" s="7"/>
      <c r="E5" s="20" t="s">
        <v>434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435</v>
      </c>
      <c r="Q5" s="7"/>
      <c r="R5" s="164" t="s">
        <v>534</v>
      </c>
      <c r="S5" s="164"/>
      <c r="T5" s="164"/>
      <c r="U5" s="173"/>
      <c r="X5" s="2" t="s">
        <v>224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436</v>
      </c>
      <c r="Q6" s="23"/>
      <c r="R6" s="24">
        <v>0</v>
      </c>
      <c r="S6" s="25"/>
      <c r="T6" s="25"/>
      <c r="U6" s="26"/>
      <c r="X6" s="111">
        <f>26.31-pressconv(1.033227,"kg/cm2.g",Y6)</f>
        <v>25.296750444045</v>
      </c>
      <c r="Y6" s="2" t="s">
        <v>418</v>
      </c>
      <c r="AA6" s="3">
        <f>tempconv(fprop(X10,X11,0,J12,X6,Y6,"Yes",1,0,0),"℃",J12)</f>
        <v>226.6886641998168</v>
      </c>
      <c r="AB6" s="2" t="s">
        <v>437</v>
      </c>
    </row>
    <row r="7" spans="1:28" ht="11.25" customHeight="1">
      <c r="A7" s="3">
        <v>5</v>
      </c>
      <c r="B7" s="10" t="s">
        <v>438</v>
      </c>
      <c r="C7" s="11"/>
      <c r="D7" s="11"/>
      <c r="E7" s="39" t="s">
        <v>515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439</v>
      </c>
      <c r="Q7" s="11"/>
      <c r="R7" s="161" t="s">
        <v>516</v>
      </c>
      <c r="S7" s="161"/>
      <c r="T7" s="161"/>
      <c r="U7" s="162"/>
      <c r="X7" s="3">
        <f>IF(X5&lt;&gt;"S/H",AA6,AA7)</f>
        <v>226.6886641998168</v>
      </c>
      <c r="AA7" s="111">
        <v>0</v>
      </c>
      <c r="AB7" s="2" t="s">
        <v>440</v>
      </c>
    </row>
    <row r="8" spans="1:21" ht="11.25" customHeight="1">
      <c r="A8" s="3">
        <v>6</v>
      </c>
      <c r="B8" s="145" t="s">
        <v>441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31" ht="11.25" customHeight="1">
      <c r="A9" s="3">
        <v>7</v>
      </c>
      <c r="B9" s="140" t="s">
        <v>442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443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442</v>
      </c>
      <c r="Y9" s="157"/>
      <c r="Z9" s="157"/>
      <c r="AA9" s="157"/>
      <c r="AB9" s="156" t="s">
        <v>443</v>
      </c>
      <c r="AC9" s="157"/>
      <c r="AD9" s="157"/>
      <c r="AE9" s="157"/>
    </row>
    <row r="10" spans="1:31" ht="11.25" customHeight="1">
      <c r="A10" s="3">
        <v>8</v>
      </c>
      <c r="B10" s="10" t="s">
        <v>444</v>
      </c>
      <c r="C10" s="11"/>
      <c r="D10" s="11"/>
      <c r="E10" s="11"/>
      <c r="F10" s="11"/>
      <c r="G10" s="161" t="s">
        <v>445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524</v>
      </c>
      <c r="R10" s="161"/>
      <c r="S10" s="161"/>
      <c r="T10" s="11"/>
      <c r="U10" s="15"/>
      <c r="V10" s="10" t="s">
        <v>446</v>
      </c>
      <c r="W10" s="15"/>
      <c r="X10" s="158" t="s">
        <v>20</v>
      </c>
      <c r="Y10" s="159"/>
      <c r="Z10" s="159"/>
      <c r="AA10" s="160"/>
      <c r="AB10" s="158"/>
      <c r="AC10" s="159"/>
      <c r="AD10" s="159"/>
      <c r="AE10" s="159"/>
    </row>
    <row r="11" spans="1:31" ht="11.25" customHeight="1">
      <c r="A11" s="3">
        <v>9</v>
      </c>
      <c r="B11" s="6" t="s">
        <v>447</v>
      </c>
      <c r="C11" s="7"/>
      <c r="D11" s="7"/>
      <c r="E11" s="7"/>
      <c r="F11" s="7"/>
      <c r="G11" s="32">
        <f>X6</f>
        <v>25.296750444045</v>
      </c>
      <c r="H11" s="32" t="s">
        <v>448</v>
      </c>
      <c r="I11" s="32">
        <f>G11+pressconv(1.033227,"kg/cm2.g",Y6)</f>
        <v>26.31</v>
      </c>
      <c r="J11" s="7" t="str">
        <f>Y6</f>
        <v>bar.g</v>
      </c>
      <c r="K11" s="7" t="str">
        <f>"/ "&amp;upsa(Y6)</f>
        <v>/ bar.a</v>
      </c>
      <c r="L11" s="6" t="s">
        <v>449</v>
      </c>
      <c r="M11" s="7"/>
      <c r="N11" s="7"/>
      <c r="O11" s="28" t="s">
        <v>450</v>
      </c>
      <c r="P11" s="7" t="s">
        <v>451</v>
      </c>
      <c r="Q11" s="164">
        <v>195.96</v>
      </c>
      <c r="R11" s="164"/>
      <c r="S11" s="164"/>
      <c r="T11" s="7" t="str">
        <f>J12</f>
        <v>℃</v>
      </c>
      <c r="U11" s="1"/>
      <c r="V11" s="6" t="s">
        <v>452</v>
      </c>
      <c r="W11" s="1"/>
      <c r="X11" s="152" t="s">
        <v>21</v>
      </c>
      <c r="Y11" s="153"/>
      <c r="Z11" s="153"/>
      <c r="AA11" s="154"/>
      <c r="AB11" s="152"/>
      <c r="AC11" s="153"/>
      <c r="AD11" s="153"/>
      <c r="AE11" s="153"/>
    </row>
    <row r="12" spans="1:21" ht="11.25" customHeight="1">
      <c r="A12" s="3">
        <v>10</v>
      </c>
      <c r="B12" s="115" t="s">
        <v>523</v>
      </c>
      <c r="C12" s="7"/>
      <c r="D12" s="7"/>
      <c r="E12" s="28" t="s">
        <v>522</v>
      </c>
      <c r="F12" s="7" t="s">
        <v>451</v>
      </c>
      <c r="G12" s="163">
        <f>X7</f>
        <v>226.6886641998168</v>
      </c>
      <c r="H12" s="163"/>
      <c r="I12" s="163"/>
      <c r="J12" s="7" t="s">
        <v>19</v>
      </c>
      <c r="K12" s="7"/>
      <c r="L12" s="6" t="s">
        <v>453</v>
      </c>
      <c r="M12" s="7"/>
      <c r="N12" s="7"/>
      <c r="O12" s="28" t="s">
        <v>454</v>
      </c>
      <c r="P12" s="7" t="s">
        <v>451</v>
      </c>
      <c r="Q12" s="164">
        <v>226.69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455</v>
      </c>
      <c r="C13" s="7"/>
      <c r="D13" s="7"/>
      <c r="E13" s="7"/>
      <c r="F13" s="7"/>
      <c r="G13" s="2" t="s">
        <v>525</v>
      </c>
      <c r="H13" s="7"/>
      <c r="I13" s="7"/>
      <c r="J13" s="7"/>
      <c r="K13" s="7"/>
      <c r="L13" s="6" t="s">
        <v>456</v>
      </c>
      <c r="M13" s="7"/>
      <c r="N13" s="7"/>
      <c r="O13" s="7"/>
      <c r="P13" s="7"/>
      <c r="Q13" s="2" t="s">
        <v>24</v>
      </c>
      <c r="R13" s="7"/>
      <c r="S13" s="7"/>
      <c r="T13" s="7"/>
      <c r="U13" s="1"/>
      <c r="V13" s="2" t="s">
        <v>457</v>
      </c>
      <c r="X13" s="2" t="s">
        <v>22</v>
      </c>
    </row>
    <row r="14" spans="1:28" ht="11.25" customHeight="1">
      <c r="A14" s="3">
        <v>12</v>
      </c>
      <c r="B14" s="10" t="s">
        <v>458</v>
      </c>
      <c r="C14" s="11"/>
      <c r="D14" s="11"/>
      <c r="E14" s="30" t="s">
        <v>459</v>
      </c>
      <c r="F14" s="11" t="s">
        <v>451</v>
      </c>
      <c r="G14" s="161">
        <v>10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AB14" s="2" t="s">
        <v>23</v>
      </c>
    </row>
    <row r="15" spans="1:21" ht="11.25" customHeight="1">
      <c r="A15" s="3">
        <v>13</v>
      </c>
      <c r="B15" s="145" t="s">
        <v>460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461</v>
      </c>
      <c r="C16" s="5" t="s">
        <v>462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463</v>
      </c>
      <c r="C17" s="7" t="s">
        <v>464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465</v>
      </c>
      <c r="C18" s="7" t="s">
        <v>466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467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40"/>
      <c r="D20" s="85" t="s">
        <v>468</v>
      </c>
      <c r="E20" s="87">
        <f>S60</f>
        <v>-1.6746695459315983</v>
      </c>
      <c r="F20" s="87">
        <f>S63</f>
        <v>3.4323048161635548</v>
      </c>
      <c r="G20" s="40" t="s">
        <v>469</v>
      </c>
      <c r="H20" s="40"/>
      <c r="I20" s="40"/>
      <c r="J20" s="85" t="s">
        <v>468</v>
      </c>
      <c r="K20" s="87">
        <f>S44</f>
        <v>1.2946960402461407</v>
      </c>
      <c r="L20" s="87">
        <f>S45</f>
        <v>3.526639431366118</v>
      </c>
      <c r="M20" s="40" t="s">
        <v>469</v>
      </c>
      <c r="N20" s="85" t="s">
        <v>468</v>
      </c>
      <c r="O20" s="87" t="str">
        <f>IF(N22="***","***",S46)</f>
        <v>***</v>
      </c>
      <c r="P20" s="87" t="str">
        <f>IF(N22="***","***",S47)</f>
        <v>***</v>
      </c>
      <c r="Q20" s="40" t="s">
        <v>469</v>
      </c>
      <c r="R20" s="85" t="str">
        <f>IF(S22="***","***","Δ (")</f>
        <v>Δ (</v>
      </c>
      <c r="S20" s="87">
        <f>IF(S22="***","***",S48)</f>
        <v>31.376677079704294</v>
      </c>
      <c r="T20" s="87">
        <f>IF(S22="***","***",S49)</f>
        <v>3.526639431366118</v>
      </c>
      <c r="U20" s="34" t="str">
        <f>IF(S22="***","***",")")</f>
        <v>)</v>
      </c>
    </row>
    <row r="21" spans="1:21" ht="11.25" customHeight="1">
      <c r="A21" s="3">
        <v>19</v>
      </c>
      <c r="B21" s="41"/>
      <c r="C21" s="19"/>
      <c r="D21" s="31" t="str">
        <f>E22&amp;" ("</f>
        <v>B (</v>
      </c>
      <c r="E21" s="47">
        <f>-(F26+G26)</f>
        <v>-595</v>
      </c>
      <c r="F21" s="47">
        <f>Q25/2+B26/2</f>
        <v>1304.9421012924618</v>
      </c>
      <c r="G21" s="19" t="s">
        <v>469</v>
      </c>
      <c r="H21" s="19"/>
      <c r="I21" s="19"/>
      <c r="J21" s="31" t="str">
        <f>K22&amp;" ("</f>
        <v>C (</v>
      </c>
      <c r="K21" s="47">
        <f>J24</f>
        <v>460</v>
      </c>
      <c r="L21" s="47">
        <f>Q25+M23</f>
        <v>1253</v>
      </c>
      <c r="M21" s="19" t="s">
        <v>469</v>
      </c>
      <c r="N21" s="31" t="str">
        <f>N22&amp;" ("</f>
        <v>*** (</v>
      </c>
      <c r="O21" s="47" t="str">
        <f>IF(N22="***","***",J24+M24)</f>
        <v>***</v>
      </c>
      <c r="P21" s="47" t="str">
        <f>IF(N22="***","***",L21)</f>
        <v>***</v>
      </c>
      <c r="Q21" s="19" t="s">
        <v>469</v>
      </c>
      <c r="R21" s="31" t="str">
        <f>IF(S22="***","***",S22&amp;" (")</f>
        <v>D (</v>
      </c>
      <c r="S21" s="116">
        <f>IF(S22="***","***",N31+S24)</f>
        <v>11148</v>
      </c>
      <c r="T21" s="47">
        <f>IF(S22="***","***",Q25+U23)</f>
        <v>1253</v>
      </c>
      <c r="U21" s="42" t="str">
        <f>IF(S22="***","***",")")</f>
        <v>)</v>
      </c>
    </row>
    <row r="22" spans="1:21" ht="11.25" customHeight="1">
      <c r="A22" s="3">
        <v>20</v>
      </c>
      <c r="B22" s="41"/>
      <c r="C22" s="19"/>
      <c r="D22" s="19"/>
      <c r="E22" s="143" t="s">
        <v>470</v>
      </c>
      <c r="F22" s="143"/>
      <c r="G22" s="82">
        <v>30</v>
      </c>
      <c r="H22" s="19" t="s">
        <v>517</v>
      </c>
      <c r="I22" s="19"/>
      <c r="J22" s="19"/>
      <c r="K22" s="143" t="s">
        <v>471</v>
      </c>
      <c r="L22" s="143"/>
      <c r="M22" s="113"/>
      <c r="N22" s="143" t="s">
        <v>472</v>
      </c>
      <c r="O22" s="143"/>
      <c r="P22" s="19"/>
      <c r="Q22" s="19"/>
      <c r="R22" s="19"/>
      <c r="S22" s="143" t="s">
        <v>324</v>
      </c>
      <c r="T22" s="143"/>
      <c r="U22" s="42"/>
    </row>
    <row r="23" spans="1:21" ht="11.25" customHeight="1">
      <c r="A23" s="3">
        <v>21</v>
      </c>
      <c r="B23" s="4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82">
        <v>150</v>
      </c>
      <c r="O23" s="19"/>
      <c r="P23" s="82">
        <v>19</v>
      </c>
      <c r="Q23" s="46" t="s">
        <v>473</v>
      </c>
      <c r="R23" s="19"/>
      <c r="S23" s="19"/>
      <c r="T23" s="19"/>
      <c r="U23" s="114">
        <v>150</v>
      </c>
    </row>
    <row r="24" spans="1:21" ht="11.25" customHeight="1">
      <c r="A24" s="3">
        <v>22</v>
      </c>
      <c r="B24" s="41"/>
      <c r="C24" s="19"/>
      <c r="D24" s="19"/>
      <c r="E24" s="19"/>
      <c r="F24" s="19"/>
      <c r="G24" s="19"/>
      <c r="H24" s="19"/>
      <c r="I24" s="19"/>
      <c r="J24" s="144">
        <v>460</v>
      </c>
      <c r="K24" s="144"/>
      <c r="L24" s="112"/>
      <c r="M24" s="144">
        <v>0</v>
      </c>
      <c r="N24" s="144"/>
      <c r="O24" s="19"/>
      <c r="P24" s="81" t="s">
        <v>474</v>
      </c>
      <c r="Q24" s="81" t="s">
        <v>475</v>
      </c>
      <c r="R24" s="19"/>
      <c r="S24" s="82">
        <f>3453-300</f>
        <v>3153</v>
      </c>
      <c r="T24" s="19"/>
      <c r="U24" s="42"/>
    </row>
    <row r="25" spans="1:21" ht="11.25" customHeight="1">
      <c r="A25" s="3">
        <v>23</v>
      </c>
      <c r="B25" s="41"/>
      <c r="C25" s="19"/>
      <c r="D25" s="109">
        <v>870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51">
        <v>1065</v>
      </c>
      <c r="Q25" s="149">
        <f>P25+2*P23</f>
        <v>1103</v>
      </c>
      <c r="R25" s="19"/>
      <c r="S25" s="19"/>
      <c r="T25" s="19"/>
      <c r="U25" s="42"/>
    </row>
    <row r="26" spans="1:21" ht="11.25" customHeight="1">
      <c r="A26" s="3">
        <v>24</v>
      </c>
      <c r="B26" s="186">
        <f>D25*COS(G22/180*PI())*2</f>
        <v>1506.8842025849233</v>
      </c>
      <c r="C26" s="187"/>
      <c r="D26" s="19"/>
      <c r="E26" s="19"/>
      <c r="F26" s="78">
        <f>D25*SIN(G22/180*PI())</f>
        <v>434.99999999999994</v>
      </c>
      <c r="G26" s="144">
        <f>320-160</f>
        <v>160</v>
      </c>
      <c r="H26" s="144"/>
      <c r="I26" s="144"/>
      <c r="J26" s="19"/>
      <c r="K26" s="19"/>
      <c r="L26" s="19"/>
      <c r="M26" s="19"/>
      <c r="N26" s="19"/>
      <c r="O26" s="19"/>
      <c r="P26" s="151"/>
      <c r="Q26" s="149"/>
      <c r="R26" s="19"/>
      <c r="S26" s="19"/>
      <c r="T26" s="19"/>
      <c r="U26" s="42"/>
    </row>
    <row r="27" spans="1:21" ht="11.25" customHeight="1">
      <c r="A27" s="3">
        <v>25</v>
      </c>
      <c r="B27" s="4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51"/>
      <c r="Q27" s="149"/>
      <c r="R27" s="19"/>
      <c r="S27" s="19"/>
      <c r="T27" s="19"/>
      <c r="U27" s="42"/>
    </row>
    <row r="28" spans="1:21" ht="11.25" customHeight="1">
      <c r="A28" s="3">
        <v>26</v>
      </c>
      <c r="B28" s="84"/>
      <c r="C28" s="19"/>
      <c r="D28" s="19"/>
      <c r="E28" s="19"/>
      <c r="F28" s="19"/>
      <c r="G28" s="19"/>
      <c r="H28" s="143">
        <v>-460</v>
      </c>
      <c r="I28" s="143"/>
      <c r="J28" s="174"/>
      <c r="K28" s="174"/>
      <c r="L28" s="174"/>
      <c r="M28" s="19"/>
      <c r="N28" s="19"/>
      <c r="O28" s="19"/>
      <c r="P28" s="151"/>
      <c r="Q28" s="149"/>
      <c r="R28" s="19"/>
      <c r="S28" s="19"/>
      <c r="T28" s="19"/>
      <c r="U28" s="42"/>
    </row>
    <row r="29" spans="1:21" ht="11.25" customHeight="1">
      <c r="A29" s="3">
        <v>27</v>
      </c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D30" s="19"/>
      <c r="E30" s="19"/>
      <c r="F30" s="19"/>
      <c r="G30" s="110">
        <v>150</v>
      </c>
      <c r="H30" s="19"/>
      <c r="I30" s="19"/>
      <c r="J30" s="19"/>
      <c r="K30" s="19"/>
      <c r="L30" s="19"/>
      <c r="M30" s="19"/>
      <c r="N30" s="51"/>
      <c r="O30" s="19"/>
      <c r="P30" s="19"/>
      <c r="Q30" s="19"/>
      <c r="R30" s="19"/>
      <c r="S30" s="19"/>
      <c r="T30" s="82">
        <v>150</v>
      </c>
      <c r="U30" s="42"/>
    </row>
    <row r="31" spans="1:21" ht="11.25" customHeight="1">
      <c r="A31" s="3">
        <v>29</v>
      </c>
      <c r="B31" s="41"/>
      <c r="D31" s="19"/>
      <c r="E31" s="143" t="s">
        <v>476</v>
      </c>
      <c r="F31" s="143"/>
      <c r="G31" s="19"/>
      <c r="H31" s="22" t="s">
        <v>477</v>
      </c>
      <c r="I31" s="19"/>
      <c r="J31" s="19"/>
      <c r="K31" s="19"/>
      <c r="L31" s="19"/>
      <c r="M31" s="19"/>
      <c r="N31" s="144">
        <f>460+7535</f>
        <v>7995</v>
      </c>
      <c r="O31" s="144"/>
      <c r="P31" s="19"/>
      <c r="Q31" s="19"/>
      <c r="R31" s="143" t="s">
        <v>478</v>
      </c>
      <c r="S31" s="143"/>
      <c r="T31" s="19"/>
      <c r="U31" s="42"/>
    </row>
    <row r="32" spans="1:21" ht="11.25" customHeight="1">
      <c r="A32" s="3">
        <v>30</v>
      </c>
      <c r="B32" s="41"/>
      <c r="D32" s="31" t="str">
        <f>E31&amp;" ("</f>
        <v>A (</v>
      </c>
      <c r="E32" s="47">
        <f>E21</f>
        <v>-595</v>
      </c>
      <c r="F32" s="47">
        <f>Q25/2-B26/2</f>
        <v>-201.94210129246164</v>
      </c>
      <c r="G32" s="31" t="str">
        <f>")  "&amp;H31&amp;" ("</f>
        <v>)  E (</v>
      </c>
      <c r="H32" s="47">
        <f>-H28</f>
        <v>460</v>
      </c>
      <c r="I32" s="47">
        <f>-G30</f>
        <v>-150</v>
      </c>
      <c r="J32" s="19" t="s">
        <v>469</v>
      </c>
      <c r="K32" s="31"/>
      <c r="L32" s="47"/>
      <c r="M32" s="47"/>
      <c r="N32" s="19"/>
      <c r="O32" s="19"/>
      <c r="P32" s="19"/>
      <c r="Q32" s="31" t="str">
        <f>R31&amp;" ("</f>
        <v>F (</v>
      </c>
      <c r="R32" s="53">
        <f>IF(R31="***","***",N31)</f>
        <v>7995</v>
      </c>
      <c r="S32" s="47">
        <f>IF(R31="***","***",-T30)</f>
        <v>-150</v>
      </c>
      <c r="T32" s="19" t="s">
        <v>469</v>
      </c>
      <c r="U32" s="42"/>
    </row>
    <row r="33" spans="1:21" ht="11.25" customHeight="1">
      <c r="A33" s="3">
        <v>31</v>
      </c>
      <c r="B33" s="84"/>
      <c r="D33" s="31" t="s">
        <v>468</v>
      </c>
      <c r="E33" s="86">
        <f>S56</f>
        <v>-1.4849309155229982</v>
      </c>
      <c r="F33" s="86">
        <f>S57</f>
        <v>-0.48029809934462186</v>
      </c>
      <c r="G33" s="19" t="s">
        <v>479</v>
      </c>
      <c r="H33" s="86">
        <f>S52</f>
        <v>1.2946960402461407</v>
      </c>
      <c r="I33" s="86">
        <f>S53</f>
        <v>-0.42218349138461103</v>
      </c>
      <c r="J33" s="19" t="s">
        <v>469</v>
      </c>
      <c r="K33" s="19"/>
      <c r="L33" s="19"/>
      <c r="M33" s="19"/>
      <c r="N33" s="19"/>
      <c r="O33" s="19"/>
      <c r="P33" s="19"/>
      <c r="Q33" s="31" t="s">
        <v>468</v>
      </c>
      <c r="R33" s="86">
        <f>IF(R31="***","***",S50)</f>
        <v>22.502380090799768</v>
      </c>
      <c r="S33" s="86">
        <f>IF(R31="***","***",S51)</f>
        <v>-0.42218349138461103</v>
      </c>
      <c r="T33" s="19" t="s">
        <v>469</v>
      </c>
      <c r="U33" s="42"/>
    </row>
    <row r="34" spans="1:21" ht="11.25" customHeight="1">
      <c r="A34" s="3">
        <v>32</v>
      </c>
      <c r="B34" s="41"/>
      <c r="C34" s="19"/>
      <c r="D34" s="19"/>
      <c r="E34" s="19"/>
      <c r="F34" s="19"/>
      <c r="G34" s="19"/>
      <c r="H34" s="19"/>
      <c r="I34" s="19"/>
      <c r="J34" s="19"/>
      <c r="K34" s="19"/>
      <c r="N34" s="112"/>
      <c r="O34" s="19"/>
      <c r="P34" s="112"/>
      <c r="Q34" s="19"/>
      <c r="R34" s="19"/>
      <c r="S34" s="19"/>
      <c r="T34" s="19"/>
      <c r="U34" s="42"/>
    </row>
    <row r="35" spans="1:21" ht="11.25" customHeight="1">
      <c r="A35" s="3">
        <v>33</v>
      </c>
      <c r="B35" s="4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4"/>
    </row>
    <row r="36" spans="1:21" ht="11.25" customHeight="1">
      <c r="A36" s="3">
        <v>34</v>
      </c>
      <c r="B36" s="145" t="s">
        <v>480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ht="11.25" customHeight="1">
      <c r="A37" s="3">
        <v>35</v>
      </c>
      <c r="B37" s="33"/>
      <c r="C37" s="40"/>
      <c r="D37" s="40"/>
      <c r="E37" s="40"/>
      <c r="F37" s="40"/>
      <c r="G37" s="40"/>
      <c r="H37" s="11"/>
      <c r="I37" s="139" t="str">
        <f>B13</f>
        <v> Shell Material</v>
      </c>
      <c r="J37" s="139"/>
      <c r="K37" s="139"/>
      <c r="L37" s="139"/>
      <c r="M37" s="139"/>
      <c r="N37" s="140" t="str">
        <f>L13</f>
        <v> Channel Material</v>
      </c>
      <c r="O37" s="139"/>
      <c r="P37" s="139"/>
      <c r="Q37" s="139"/>
      <c r="R37" s="139"/>
      <c r="S37" s="11"/>
      <c r="T37" s="11"/>
      <c r="U37" s="15"/>
    </row>
    <row r="38" spans="1:21" ht="11.25" customHeight="1">
      <c r="A38" s="3">
        <v>36</v>
      </c>
      <c r="B38" s="129" t="s">
        <v>481</v>
      </c>
      <c r="C38" s="130"/>
      <c r="D38" s="130"/>
      <c r="E38" s="130"/>
      <c r="F38" s="130"/>
      <c r="G38" s="130"/>
      <c r="H38" s="28" t="s">
        <v>482</v>
      </c>
      <c r="I38" s="36" t="s">
        <v>483</v>
      </c>
      <c r="J38" s="11" t="s">
        <v>484</v>
      </c>
      <c r="K38" s="11"/>
      <c r="L38" s="137">
        <f>alphaTEMA(mindex(G13,40),G12,J12)</f>
        <v>12.924142544014813</v>
      </c>
      <c r="M38" s="137"/>
      <c r="N38" s="35" t="s">
        <v>483</v>
      </c>
      <c r="O38" s="11" t="s">
        <v>485</v>
      </c>
      <c r="P38" s="11"/>
      <c r="Q38" s="137">
        <f>alphaTEMA(mindex(Q13,40),Q11,T11)</f>
        <v>12.7250208</v>
      </c>
      <c r="R38" s="137"/>
      <c r="S38" s="7" t="s">
        <v>486</v>
      </c>
      <c r="T38" s="7"/>
      <c r="U38" s="1"/>
    </row>
    <row r="39" spans="1:21" ht="11.25" customHeight="1">
      <c r="A39" s="3">
        <v>37</v>
      </c>
      <c r="B39" s="129"/>
      <c r="C39" s="130"/>
      <c r="D39" s="130"/>
      <c r="E39" s="130"/>
      <c r="F39" s="130"/>
      <c r="G39" s="130"/>
      <c r="H39" s="7"/>
      <c r="I39" s="7"/>
      <c r="J39" s="7"/>
      <c r="K39" s="7"/>
      <c r="L39" s="7"/>
      <c r="M39" s="7"/>
      <c r="N39" s="37" t="s">
        <v>483</v>
      </c>
      <c r="O39" s="7" t="s">
        <v>487</v>
      </c>
      <c r="P39" s="7"/>
      <c r="Q39" s="141">
        <f>alphaTEMA(mindex(Q13,40),Q12,T12)</f>
        <v>12.924151199999999</v>
      </c>
      <c r="R39" s="141"/>
      <c r="S39" s="7" t="str">
        <f>S38</f>
        <v>mm / mm ℃ / 10^6</v>
      </c>
      <c r="T39" s="7"/>
      <c r="U39" s="1"/>
    </row>
    <row r="40" spans="1:21" ht="11.25" customHeight="1">
      <c r="A40" s="3">
        <v>38</v>
      </c>
      <c r="B40" s="43"/>
      <c r="C40" s="23"/>
      <c r="D40" s="23"/>
      <c r="E40" s="23"/>
      <c r="F40" s="23"/>
      <c r="G40" s="23"/>
      <c r="H40" s="29" t="s">
        <v>488</v>
      </c>
      <c r="I40" s="64" t="s">
        <v>483</v>
      </c>
      <c r="J40" s="8" t="s">
        <v>489</v>
      </c>
      <c r="K40" s="8"/>
      <c r="L40" s="138">
        <f>alphaTEMA(mindex(G13,40),G14,J14)</f>
        <v>11.519999999999998</v>
      </c>
      <c r="M40" s="138"/>
      <c r="N40" s="68" t="s">
        <v>483</v>
      </c>
      <c r="O40" s="17" t="str">
        <f>J40</f>
        <v>Ambient Temp.</v>
      </c>
      <c r="P40" s="17"/>
      <c r="Q40" s="142">
        <f>alphaTEMA(mindex(Q13,40),G14,J14)</f>
        <v>11.519999999999998</v>
      </c>
      <c r="R40" s="142"/>
      <c r="S40" s="8" t="str">
        <f>S38</f>
        <v>mm / mm ℃ / 10^6</v>
      </c>
      <c r="T40" s="8"/>
      <c r="U40" s="12"/>
    </row>
    <row r="41" spans="1:21" ht="11.25" customHeight="1">
      <c r="A41" s="3">
        <v>39</v>
      </c>
      <c r="B41" s="77" t="s">
        <v>490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</row>
    <row r="42" spans="1:21" ht="11.25" customHeight="1">
      <c r="A42" s="3">
        <v>40</v>
      </c>
      <c r="B42" s="41"/>
      <c r="C42" s="45" t="s">
        <v>491</v>
      </c>
      <c r="D42" s="19" t="s">
        <v>451</v>
      </c>
      <c r="E42" s="19" t="s">
        <v>492</v>
      </c>
      <c r="F42" s="19"/>
      <c r="G42" s="19"/>
      <c r="H42" s="19"/>
      <c r="I42" s="19"/>
      <c r="J42" s="19"/>
      <c r="K42" s="31" t="s">
        <v>493</v>
      </c>
      <c r="L42" s="45" t="s">
        <v>494</v>
      </c>
      <c r="M42" s="19" t="s">
        <v>495</v>
      </c>
      <c r="N42" s="19"/>
      <c r="O42" s="19" t="s">
        <v>496</v>
      </c>
      <c r="P42" s="78" t="s">
        <v>497</v>
      </c>
      <c r="Q42" s="19" t="s">
        <v>498</v>
      </c>
      <c r="R42" s="19"/>
      <c r="S42" s="19"/>
      <c r="T42" s="19"/>
      <c r="U42" s="79" t="s">
        <v>499</v>
      </c>
    </row>
    <row r="43" spans="1:21" ht="11.25" customHeight="1">
      <c r="A43" s="3">
        <v>41</v>
      </c>
      <c r="B43" s="43"/>
      <c r="C43" s="23"/>
      <c r="D43" s="23"/>
      <c r="E43" s="23"/>
      <c r="F43" s="23"/>
      <c r="G43" s="23"/>
      <c r="H43" s="23"/>
      <c r="I43" s="23"/>
      <c r="J43" s="23"/>
      <c r="K43" s="23"/>
      <c r="L43" s="102" t="s">
        <v>491</v>
      </c>
      <c r="M43" s="23" t="s">
        <v>500</v>
      </c>
      <c r="N43" s="23"/>
      <c r="O43" s="23" t="s">
        <v>496</v>
      </c>
      <c r="P43" s="23"/>
      <c r="Q43" s="23"/>
      <c r="R43" s="23"/>
      <c r="S43" s="23"/>
      <c r="T43" s="23"/>
      <c r="U43" s="44"/>
    </row>
    <row r="44" spans="1:21" ht="11.25" customHeight="1">
      <c r="A44" s="3">
        <v>42</v>
      </c>
      <c r="B44" s="132" t="s">
        <v>501</v>
      </c>
      <c r="C44" s="123" t="str">
        <f>K22</f>
        <v>C</v>
      </c>
      <c r="D44" s="5" t="s">
        <v>502</v>
      </c>
      <c r="E44" s="5" t="s">
        <v>451</v>
      </c>
      <c r="F44" s="119">
        <f>K21</f>
        <v>460</v>
      </c>
      <c r="G44" s="119"/>
      <c r="H44" s="38" t="s">
        <v>503</v>
      </c>
      <c r="I44" s="54">
        <f>L38</f>
        <v>12.924142544014813</v>
      </c>
      <c r="J44" s="38" t="s">
        <v>504</v>
      </c>
      <c r="K44" s="54">
        <f>tempconv(G12,J12,"℃")</f>
        <v>226.6886641998168</v>
      </c>
      <c r="L44" s="38" t="s">
        <v>505</v>
      </c>
      <c r="M44" s="54">
        <f>L40</f>
        <v>11.519999999999998</v>
      </c>
      <c r="N44" s="38" t="s">
        <v>504</v>
      </c>
      <c r="O44" s="54">
        <f>tempconv(G14,J14,"℃")</f>
        <v>10</v>
      </c>
      <c r="P44" s="55" t="s">
        <v>506</v>
      </c>
      <c r="Q44" s="5"/>
      <c r="R44" s="38" t="s">
        <v>451</v>
      </c>
      <c r="S44" s="126">
        <f>F44*(I44*K44-M44*O44)/10^6</f>
        <v>1.2946960402461407</v>
      </c>
      <c r="T44" s="126"/>
      <c r="U44" s="56" t="s">
        <v>496</v>
      </c>
    </row>
    <row r="45" spans="1:21" ht="11.25" customHeight="1">
      <c r="A45" s="3">
        <v>43</v>
      </c>
      <c r="B45" s="175"/>
      <c r="C45" s="176"/>
      <c r="D45" s="8" t="s">
        <v>507</v>
      </c>
      <c r="E45" s="8" t="s">
        <v>451</v>
      </c>
      <c r="F45" s="128">
        <f>L21</f>
        <v>1253</v>
      </c>
      <c r="G45" s="128"/>
      <c r="H45" s="64" t="s">
        <v>503</v>
      </c>
      <c r="I45" s="65">
        <f>I44</f>
        <v>12.924142544014813</v>
      </c>
      <c r="J45" s="64" t="s">
        <v>504</v>
      </c>
      <c r="K45" s="65">
        <f>K44</f>
        <v>226.6886641998168</v>
      </c>
      <c r="L45" s="64" t="s">
        <v>505</v>
      </c>
      <c r="M45" s="65">
        <f>M44</f>
        <v>11.519999999999998</v>
      </c>
      <c r="N45" s="64" t="s">
        <v>504</v>
      </c>
      <c r="O45" s="65">
        <f>O44</f>
        <v>10</v>
      </c>
      <c r="P45" s="66" t="s">
        <v>506</v>
      </c>
      <c r="Q45" s="8"/>
      <c r="R45" s="64" t="s">
        <v>451</v>
      </c>
      <c r="S45" s="127">
        <f>F45*(I45*K45-M45*O45)/10^6</f>
        <v>3.526639431366118</v>
      </c>
      <c r="T45" s="127"/>
      <c r="U45" s="67" t="s">
        <v>496</v>
      </c>
    </row>
    <row r="46" spans="1:21" ht="11.25" customHeight="1">
      <c r="A46" s="3">
        <v>44</v>
      </c>
      <c r="B46" s="132" t="s">
        <v>501</v>
      </c>
      <c r="C46" s="123" t="str">
        <f>N22</f>
        <v>***</v>
      </c>
      <c r="D46" s="11" t="s">
        <v>502</v>
      </c>
      <c r="E46" s="11" t="s">
        <v>451</v>
      </c>
      <c r="F46" s="131" t="str">
        <f>O21</f>
        <v>***</v>
      </c>
      <c r="G46" s="131"/>
      <c r="H46" s="36" t="s">
        <v>503</v>
      </c>
      <c r="I46" s="57">
        <f>L38</f>
        <v>12.924142544014813</v>
      </c>
      <c r="J46" s="36" t="s">
        <v>504</v>
      </c>
      <c r="K46" s="57">
        <f>tempconv(G12,J12,"℃")</f>
        <v>226.6886641998168</v>
      </c>
      <c r="L46" s="36" t="s">
        <v>505</v>
      </c>
      <c r="M46" s="57">
        <f>L40</f>
        <v>11.519999999999998</v>
      </c>
      <c r="N46" s="36" t="s">
        <v>504</v>
      </c>
      <c r="O46" s="57">
        <f>tempconv(G14,J14,"℃")</f>
        <v>10</v>
      </c>
      <c r="P46" s="58" t="s">
        <v>506</v>
      </c>
      <c r="Q46" s="11"/>
      <c r="R46" s="36" t="s">
        <v>451</v>
      </c>
      <c r="S46" s="133" t="str">
        <f>IF(C46="***","***",F46*(I46*K46-M46*O46)/10^6)</f>
        <v>***</v>
      </c>
      <c r="T46" s="133"/>
      <c r="U46" s="59" t="s">
        <v>496</v>
      </c>
    </row>
    <row r="47" spans="1:21" ht="11.25" customHeight="1">
      <c r="A47" s="3">
        <v>45</v>
      </c>
      <c r="B47" s="118"/>
      <c r="C47" s="124"/>
      <c r="D47" s="17" t="s">
        <v>507</v>
      </c>
      <c r="E47" s="17" t="s">
        <v>451</v>
      </c>
      <c r="F47" s="125" t="str">
        <f>P21</f>
        <v>***</v>
      </c>
      <c r="G47" s="125"/>
      <c r="H47" s="60" t="s">
        <v>503</v>
      </c>
      <c r="I47" s="61">
        <f>I46</f>
        <v>12.924142544014813</v>
      </c>
      <c r="J47" s="60" t="s">
        <v>504</v>
      </c>
      <c r="K47" s="61">
        <f>K46</f>
        <v>226.6886641998168</v>
      </c>
      <c r="L47" s="60" t="s">
        <v>505</v>
      </c>
      <c r="M47" s="61">
        <f>M46</f>
        <v>11.519999999999998</v>
      </c>
      <c r="N47" s="60" t="s">
        <v>504</v>
      </c>
      <c r="O47" s="61">
        <f>O46</f>
        <v>10</v>
      </c>
      <c r="P47" s="62" t="s">
        <v>506</v>
      </c>
      <c r="Q47" s="17"/>
      <c r="R47" s="60" t="s">
        <v>451</v>
      </c>
      <c r="S47" s="122" t="str">
        <f>IF(C46="***","***",F47*(I47*K47-M47*O47)/10^6)</f>
        <v>***</v>
      </c>
      <c r="T47" s="122"/>
      <c r="U47" s="63" t="s">
        <v>496</v>
      </c>
    </row>
    <row r="48" spans="1:21" ht="11.25" customHeight="1">
      <c r="A48" s="3">
        <v>46</v>
      </c>
      <c r="B48" s="132" t="s">
        <v>501</v>
      </c>
      <c r="C48" s="123" t="str">
        <f>S22</f>
        <v>D</v>
      </c>
      <c r="D48" s="11" t="s">
        <v>502</v>
      </c>
      <c r="E48" s="11" t="s">
        <v>451</v>
      </c>
      <c r="F48" s="131">
        <f>S21</f>
        <v>11148</v>
      </c>
      <c r="G48" s="131"/>
      <c r="H48" s="36" t="s">
        <v>503</v>
      </c>
      <c r="I48" s="57">
        <f>L38</f>
        <v>12.924142544014813</v>
      </c>
      <c r="J48" s="36" t="s">
        <v>504</v>
      </c>
      <c r="K48" s="57">
        <f>tempconv(G12,J12,"℃")</f>
        <v>226.6886641998168</v>
      </c>
      <c r="L48" s="36" t="s">
        <v>505</v>
      </c>
      <c r="M48" s="57">
        <f>L40</f>
        <v>11.519999999999998</v>
      </c>
      <c r="N48" s="36" t="s">
        <v>504</v>
      </c>
      <c r="O48" s="57">
        <f>tempconv(G14,J14,"℃")</f>
        <v>10</v>
      </c>
      <c r="P48" s="58" t="s">
        <v>506</v>
      </c>
      <c r="Q48" s="11"/>
      <c r="R48" s="36" t="s">
        <v>451</v>
      </c>
      <c r="S48" s="133">
        <f>IF(C48="***","***",F48*(I48*K48-M48*O48)/10^6)</f>
        <v>31.376677079704294</v>
      </c>
      <c r="T48" s="133"/>
      <c r="U48" s="59" t="s">
        <v>496</v>
      </c>
    </row>
    <row r="49" spans="1:21" ht="11.25" customHeight="1">
      <c r="A49" s="3">
        <v>47</v>
      </c>
      <c r="B49" s="118"/>
      <c r="C49" s="124"/>
      <c r="D49" s="17" t="s">
        <v>507</v>
      </c>
      <c r="E49" s="17" t="s">
        <v>451</v>
      </c>
      <c r="F49" s="125">
        <f>T21</f>
        <v>1253</v>
      </c>
      <c r="G49" s="125"/>
      <c r="H49" s="60" t="s">
        <v>503</v>
      </c>
      <c r="I49" s="61">
        <f>I48</f>
        <v>12.924142544014813</v>
      </c>
      <c r="J49" s="60" t="s">
        <v>504</v>
      </c>
      <c r="K49" s="61">
        <f>K48</f>
        <v>226.6886641998168</v>
      </c>
      <c r="L49" s="60" t="s">
        <v>505</v>
      </c>
      <c r="M49" s="61">
        <f>M48</f>
        <v>11.519999999999998</v>
      </c>
      <c r="N49" s="60" t="s">
        <v>504</v>
      </c>
      <c r="O49" s="61">
        <f>O48</f>
        <v>10</v>
      </c>
      <c r="P49" s="62" t="s">
        <v>506</v>
      </c>
      <c r="Q49" s="17"/>
      <c r="R49" s="60" t="s">
        <v>451</v>
      </c>
      <c r="S49" s="122">
        <f>IF(C48="***","***",F49*(I49*K49-M49*O49)/10^6)</f>
        <v>3.526639431366118</v>
      </c>
      <c r="T49" s="122"/>
      <c r="U49" s="63" t="s">
        <v>496</v>
      </c>
    </row>
    <row r="50" spans="1:21" ht="11.25" customHeight="1">
      <c r="A50" s="3">
        <v>48</v>
      </c>
      <c r="B50" s="132" t="s">
        <v>501</v>
      </c>
      <c r="C50" s="123" t="str">
        <f>R31</f>
        <v>F</v>
      </c>
      <c r="D50" s="11" t="s">
        <v>502</v>
      </c>
      <c r="E50" s="11" t="s">
        <v>451</v>
      </c>
      <c r="F50" s="131">
        <f>R32</f>
        <v>7995</v>
      </c>
      <c r="G50" s="131"/>
      <c r="H50" s="36" t="s">
        <v>503</v>
      </c>
      <c r="I50" s="57">
        <f>L38</f>
        <v>12.924142544014813</v>
      </c>
      <c r="J50" s="36" t="s">
        <v>504</v>
      </c>
      <c r="K50" s="57">
        <f>tempconv(G12,J12,"℃")</f>
        <v>226.6886641998168</v>
      </c>
      <c r="L50" s="36" t="s">
        <v>505</v>
      </c>
      <c r="M50" s="57">
        <f>L40</f>
        <v>11.519999999999998</v>
      </c>
      <c r="N50" s="36" t="s">
        <v>504</v>
      </c>
      <c r="O50" s="57">
        <f>tempconv(G14,J14,"℃")</f>
        <v>10</v>
      </c>
      <c r="P50" s="58" t="s">
        <v>506</v>
      </c>
      <c r="Q50" s="11"/>
      <c r="R50" s="36" t="s">
        <v>451</v>
      </c>
      <c r="S50" s="133">
        <f>IF(C50="***","***",F50*(I50*K50-M50*O50)/10^6)</f>
        <v>22.502380090799768</v>
      </c>
      <c r="T50" s="133"/>
      <c r="U50" s="59" t="s">
        <v>496</v>
      </c>
    </row>
    <row r="51" spans="1:21" ht="11.25" customHeight="1">
      <c r="A51" s="3">
        <v>49</v>
      </c>
      <c r="B51" s="118"/>
      <c r="C51" s="124"/>
      <c r="D51" s="17" t="s">
        <v>507</v>
      </c>
      <c r="E51" s="17" t="s">
        <v>451</v>
      </c>
      <c r="F51" s="125">
        <f>S32</f>
        <v>-150</v>
      </c>
      <c r="G51" s="125"/>
      <c r="H51" s="60" t="s">
        <v>503</v>
      </c>
      <c r="I51" s="61">
        <f>I50</f>
        <v>12.924142544014813</v>
      </c>
      <c r="J51" s="60" t="s">
        <v>504</v>
      </c>
      <c r="K51" s="61">
        <f>K50</f>
        <v>226.6886641998168</v>
      </c>
      <c r="L51" s="60" t="s">
        <v>505</v>
      </c>
      <c r="M51" s="61">
        <f>M50</f>
        <v>11.519999999999998</v>
      </c>
      <c r="N51" s="60" t="s">
        <v>504</v>
      </c>
      <c r="O51" s="61">
        <f>O50</f>
        <v>10</v>
      </c>
      <c r="P51" s="62" t="s">
        <v>506</v>
      </c>
      <c r="Q51" s="17"/>
      <c r="R51" s="60" t="s">
        <v>451</v>
      </c>
      <c r="S51" s="122">
        <f>IF(C50="***","***",F51*(I51*K51-M51*O51)/10^6)</f>
        <v>-0.42218349138461103</v>
      </c>
      <c r="T51" s="122"/>
      <c r="U51" s="63" t="s">
        <v>496</v>
      </c>
    </row>
    <row r="52" spans="1:21" ht="11.25" customHeight="1">
      <c r="A52" s="3">
        <v>50</v>
      </c>
      <c r="B52" s="132" t="s">
        <v>501</v>
      </c>
      <c r="C52" s="123" t="str">
        <f>H31</f>
        <v>E</v>
      </c>
      <c r="D52" s="11" t="s">
        <v>502</v>
      </c>
      <c r="E52" s="11" t="s">
        <v>451</v>
      </c>
      <c r="F52" s="131">
        <f>H32</f>
        <v>460</v>
      </c>
      <c r="G52" s="131"/>
      <c r="H52" s="36" t="s">
        <v>503</v>
      </c>
      <c r="I52" s="57">
        <f>L38</f>
        <v>12.924142544014813</v>
      </c>
      <c r="J52" s="36" t="s">
        <v>504</v>
      </c>
      <c r="K52" s="57">
        <f>tempconv(G12,J12,"℃")</f>
        <v>226.6886641998168</v>
      </c>
      <c r="L52" s="36" t="s">
        <v>505</v>
      </c>
      <c r="M52" s="57">
        <f>L40</f>
        <v>11.519999999999998</v>
      </c>
      <c r="N52" s="36" t="s">
        <v>504</v>
      </c>
      <c r="O52" s="57">
        <f>tempconv(G14,J14,"℃")</f>
        <v>10</v>
      </c>
      <c r="P52" s="58" t="s">
        <v>506</v>
      </c>
      <c r="Q52" s="11"/>
      <c r="R52" s="36" t="s">
        <v>451</v>
      </c>
      <c r="S52" s="133">
        <f>F52*(I52*K52-M52*O52)/10^6</f>
        <v>1.2946960402461407</v>
      </c>
      <c r="T52" s="133"/>
      <c r="U52" s="59" t="s">
        <v>496</v>
      </c>
    </row>
    <row r="53" spans="1:21" ht="11.25" customHeight="1">
      <c r="A53" s="3">
        <v>51</v>
      </c>
      <c r="B53" s="118"/>
      <c r="C53" s="124"/>
      <c r="D53" s="17" t="s">
        <v>507</v>
      </c>
      <c r="E53" s="17" t="s">
        <v>451</v>
      </c>
      <c r="F53" s="125">
        <f>I32</f>
        <v>-150</v>
      </c>
      <c r="G53" s="125"/>
      <c r="H53" s="60" t="s">
        <v>503</v>
      </c>
      <c r="I53" s="61">
        <f>I52</f>
        <v>12.924142544014813</v>
      </c>
      <c r="J53" s="60" t="s">
        <v>504</v>
      </c>
      <c r="K53" s="61">
        <f>K52</f>
        <v>226.6886641998168</v>
      </c>
      <c r="L53" s="60" t="s">
        <v>505</v>
      </c>
      <c r="M53" s="61">
        <f>M52</f>
        <v>11.519999999999998</v>
      </c>
      <c r="N53" s="60" t="s">
        <v>504</v>
      </c>
      <c r="O53" s="61">
        <f>O52</f>
        <v>10</v>
      </c>
      <c r="P53" s="62" t="s">
        <v>506</v>
      </c>
      <c r="Q53" s="17"/>
      <c r="R53" s="60" t="s">
        <v>451</v>
      </c>
      <c r="S53" s="122">
        <f>F53*(I53*K53-M53*O53)/10^6</f>
        <v>-0.42218349138461103</v>
      </c>
      <c r="T53" s="122"/>
      <c r="U53" s="63" t="s">
        <v>496</v>
      </c>
    </row>
    <row r="54" spans="1:21" ht="11.25" customHeight="1">
      <c r="A54" s="3">
        <v>52</v>
      </c>
      <c r="B54" s="33"/>
      <c r="C54" s="69"/>
      <c r="D54" s="11" t="s">
        <v>508</v>
      </c>
      <c r="E54" s="11" t="s">
        <v>451</v>
      </c>
      <c r="F54" s="131">
        <f>F58</f>
        <v>-160</v>
      </c>
      <c r="G54" s="131"/>
      <c r="H54" s="36" t="s">
        <v>503</v>
      </c>
      <c r="I54" s="57">
        <f>IF(G26&gt;=0,L38,Q38)</f>
        <v>12.924142544014813</v>
      </c>
      <c r="J54" s="36" t="s">
        <v>504</v>
      </c>
      <c r="K54" s="57">
        <f>IF(G26&gt;=0,tempconv(G12,J12,"℃"),tempconv(Q11,T11,"℃"))</f>
        <v>226.6886641998168</v>
      </c>
      <c r="L54" s="36" t="s">
        <v>505</v>
      </c>
      <c r="M54" s="57">
        <f>M58</f>
        <v>11.519999999999998</v>
      </c>
      <c r="N54" s="36" t="s">
        <v>504</v>
      </c>
      <c r="O54" s="57">
        <f>O58</f>
        <v>10</v>
      </c>
      <c r="P54" s="58" t="s">
        <v>506</v>
      </c>
      <c r="Q54" s="11"/>
      <c r="R54" s="36" t="s">
        <v>451</v>
      </c>
      <c r="S54" s="135">
        <f>F54*(I54*K54-M54*O54)/10^6</f>
        <v>-0.4503290574769184</v>
      </c>
      <c r="T54" s="135"/>
      <c r="U54" s="59" t="s">
        <v>496</v>
      </c>
    </row>
    <row r="55" spans="1:21" ht="11.25" customHeight="1">
      <c r="A55" s="3">
        <v>53</v>
      </c>
      <c r="B55" s="41" t="s">
        <v>501</v>
      </c>
      <c r="C55" s="45" t="str">
        <f>E31</f>
        <v>A</v>
      </c>
      <c r="D55" s="7" t="s">
        <v>509</v>
      </c>
      <c r="E55" s="7" t="s">
        <v>451</v>
      </c>
      <c r="F55" s="120">
        <f>F59</f>
        <v>-434.99999999999994</v>
      </c>
      <c r="G55" s="120"/>
      <c r="H55" s="32" t="s">
        <v>503</v>
      </c>
      <c r="I55" s="48">
        <f>Q38</f>
        <v>12.7250208</v>
      </c>
      <c r="J55" s="32" t="s">
        <v>504</v>
      </c>
      <c r="K55" s="48">
        <f>tempconv(Q11,T11,"℃")</f>
        <v>195.96</v>
      </c>
      <c r="L55" s="32" t="s">
        <v>505</v>
      </c>
      <c r="M55" s="48">
        <f>M59</f>
        <v>11.519999999999998</v>
      </c>
      <c r="N55" s="32" t="s">
        <v>504</v>
      </c>
      <c r="O55" s="48">
        <f>O59</f>
        <v>10</v>
      </c>
      <c r="P55" s="50" t="s">
        <v>506</v>
      </c>
      <c r="Q55" s="7"/>
      <c r="R55" s="32" t="s">
        <v>451</v>
      </c>
      <c r="S55" s="121">
        <f>F55*(I55*K55-M55*O55)/10^6</f>
        <v>-1.0346018580460798</v>
      </c>
      <c r="T55" s="121"/>
      <c r="U55" s="49" t="s">
        <v>496</v>
      </c>
    </row>
    <row r="56" spans="1:21" ht="11.25" customHeight="1">
      <c r="A56" s="3">
        <v>54</v>
      </c>
      <c r="B56" s="41"/>
      <c r="C56" s="19"/>
      <c r="D56" s="8" t="s">
        <v>502</v>
      </c>
      <c r="E56" s="8" t="s">
        <v>451</v>
      </c>
      <c r="F56" s="64" t="s">
        <v>508</v>
      </c>
      <c r="G56" s="64" t="s">
        <v>510</v>
      </c>
      <c r="H56" s="64" t="s">
        <v>509</v>
      </c>
      <c r="I56" s="8"/>
      <c r="J56" s="8"/>
      <c r="K56" s="8"/>
      <c r="L56" s="8"/>
      <c r="M56" s="8"/>
      <c r="N56" s="8"/>
      <c r="O56" s="8"/>
      <c r="P56" s="8"/>
      <c r="Q56" s="8"/>
      <c r="R56" s="64" t="s">
        <v>451</v>
      </c>
      <c r="S56" s="127">
        <f>S54+S55</f>
        <v>-1.4849309155229982</v>
      </c>
      <c r="T56" s="127"/>
      <c r="U56" s="67" t="s">
        <v>496</v>
      </c>
    </row>
    <row r="57" spans="1:21" ht="11.25" customHeight="1">
      <c r="A57" s="3">
        <v>55</v>
      </c>
      <c r="B57" s="43"/>
      <c r="C57" s="23"/>
      <c r="D57" s="70" t="s">
        <v>507</v>
      </c>
      <c r="E57" s="70" t="s">
        <v>451</v>
      </c>
      <c r="F57" s="136">
        <f>F32</f>
        <v>-201.94210129246164</v>
      </c>
      <c r="G57" s="136"/>
      <c r="H57" s="71" t="s">
        <v>503</v>
      </c>
      <c r="I57" s="72">
        <f>I55</f>
        <v>12.7250208</v>
      </c>
      <c r="J57" s="71" t="s">
        <v>504</v>
      </c>
      <c r="K57" s="72">
        <f>K55</f>
        <v>195.96</v>
      </c>
      <c r="L57" s="71" t="s">
        <v>505</v>
      </c>
      <c r="M57" s="72">
        <f>M55</f>
        <v>11.519999999999998</v>
      </c>
      <c r="N57" s="71" t="s">
        <v>504</v>
      </c>
      <c r="O57" s="72">
        <f>O55</f>
        <v>10</v>
      </c>
      <c r="P57" s="73" t="s">
        <v>506</v>
      </c>
      <c r="Q57" s="70"/>
      <c r="R57" s="71" t="s">
        <v>451</v>
      </c>
      <c r="S57" s="117">
        <f>F57*(I57*K57-M57*O57)/10^6</f>
        <v>-0.48029809934462186</v>
      </c>
      <c r="T57" s="117"/>
      <c r="U57" s="74" t="s">
        <v>496</v>
      </c>
    </row>
    <row r="58" spans="1:21" ht="11.25" customHeight="1">
      <c r="A58" s="3">
        <v>56</v>
      </c>
      <c r="B58" s="33"/>
      <c r="C58" s="69"/>
      <c r="D58" s="5" t="s">
        <v>508</v>
      </c>
      <c r="E58" s="5" t="s">
        <v>451</v>
      </c>
      <c r="F58" s="119">
        <f>-G26</f>
        <v>-160</v>
      </c>
      <c r="G58" s="119"/>
      <c r="H58" s="38" t="s">
        <v>503</v>
      </c>
      <c r="I58" s="54">
        <f>IF(G26&gt;=0,L38,Q39)</f>
        <v>12.924142544014813</v>
      </c>
      <c r="J58" s="38" t="s">
        <v>504</v>
      </c>
      <c r="K58" s="54">
        <f>IF(G26&gt;=0,tempconv(G12,J12,"℃"),tempconv(Q12,T12,"℃"))</f>
        <v>226.6886641998168</v>
      </c>
      <c r="L58" s="38" t="s">
        <v>505</v>
      </c>
      <c r="M58" s="54">
        <f>IF(G26&gt;=0,L40,Q40)</f>
        <v>11.519999999999998</v>
      </c>
      <c r="N58" s="38" t="s">
        <v>504</v>
      </c>
      <c r="O58" s="54">
        <f>tempconv(G14,J14,"℃")</f>
        <v>10</v>
      </c>
      <c r="P58" s="55" t="s">
        <v>506</v>
      </c>
      <c r="Q58" s="5"/>
      <c r="R58" s="38" t="s">
        <v>451</v>
      </c>
      <c r="S58" s="134">
        <f>F58*(I58*K58-M58*O58)/10^6</f>
        <v>-0.4503290574769184</v>
      </c>
      <c r="T58" s="134"/>
      <c r="U58" s="56" t="s">
        <v>496</v>
      </c>
    </row>
    <row r="59" spans="1:21" ht="11.25" customHeight="1">
      <c r="A59" s="3">
        <v>57</v>
      </c>
      <c r="B59" s="41"/>
      <c r="C59" s="19"/>
      <c r="D59" s="7" t="s">
        <v>509</v>
      </c>
      <c r="E59" s="7" t="s">
        <v>451</v>
      </c>
      <c r="F59" s="120">
        <f>-F26</f>
        <v>-434.99999999999994</v>
      </c>
      <c r="G59" s="120"/>
      <c r="H59" s="32" t="s">
        <v>503</v>
      </c>
      <c r="I59" s="48">
        <f>Q39</f>
        <v>12.924151199999999</v>
      </c>
      <c r="J59" s="32" t="s">
        <v>504</v>
      </c>
      <c r="K59" s="48">
        <f>tempconv(Q12,T12,"℃")</f>
        <v>226.69</v>
      </c>
      <c r="L59" s="32" t="s">
        <v>505</v>
      </c>
      <c r="M59" s="48">
        <f>Q40</f>
        <v>11.519999999999998</v>
      </c>
      <c r="N59" s="32" t="s">
        <v>504</v>
      </c>
      <c r="O59" s="48">
        <f>tempconv(G14,J14,"℃")</f>
        <v>10</v>
      </c>
      <c r="P59" s="50" t="s">
        <v>506</v>
      </c>
      <c r="Q59" s="7"/>
      <c r="R59" s="32" t="s">
        <v>451</v>
      </c>
      <c r="S59" s="121">
        <f>F59*(I59*K59-M59*O59)/10^6</f>
        <v>-1.2243404884546798</v>
      </c>
      <c r="T59" s="121"/>
      <c r="U59" s="49" t="s">
        <v>496</v>
      </c>
    </row>
    <row r="60" spans="1:21" ht="11.25" customHeight="1">
      <c r="A60" s="3">
        <v>58</v>
      </c>
      <c r="B60" s="41" t="s">
        <v>501</v>
      </c>
      <c r="C60" s="45" t="str">
        <f>E22</f>
        <v>B</v>
      </c>
      <c r="D60" s="8" t="s">
        <v>502</v>
      </c>
      <c r="E60" s="8" t="s">
        <v>451</v>
      </c>
      <c r="F60" s="64" t="s">
        <v>508</v>
      </c>
      <c r="G60" s="64" t="s">
        <v>510</v>
      </c>
      <c r="H60" s="64" t="s">
        <v>509</v>
      </c>
      <c r="I60" s="8"/>
      <c r="J60" s="8"/>
      <c r="K60" s="8"/>
      <c r="L60" s="8"/>
      <c r="M60" s="8"/>
      <c r="N60" s="8"/>
      <c r="O60" s="8"/>
      <c r="P60" s="8"/>
      <c r="Q60" s="8"/>
      <c r="R60" s="64" t="s">
        <v>451</v>
      </c>
      <c r="S60" s="127">
        <f>S58+S59</f>
        <v>-1.6746695459315983</v>
      </c>
      <c r="T60" s="127"/>
      <c r="U60" s="67" t="s">
        <v>496</v>
      </c>
    </row>
    <row r="61" spans="1:21" ht="11.25" customHeight="1">
      <c r="A61" s="3">
        <v>59</v>
      </c>
      <c r="B61" s="41"/>
      <c r="C61" s="19"/>
      <c r="D61" s="11" t="s">
        <v>520</v>
      </c>
      <c r="E61" s="11" t="s">
        <v>451</v>
      </c>
      <c r="F61" s="131">
        <f>B26/2+F32</f>
        <v>551.5</v>
      </c>
      <c r="G61" s="131"/>
      <c r="H61" s="36" t="s">
        <v>503</v>
      </c>
      <c r="I61" s="57">
        <f>I57</f>
        <v>12.7250208</v>
      </c>
      <c r="J61" s="36" t="s">
        <v>504</v>
      </c>
      <c r="K61" s="57">
        <f>K57</f>
        <v>195.96</v>
      </c>
      <c r="L61" s="36" t="s">
        <v>505</v>
      </c>
      <c r="M61" s="57">
        <f>M58</f>
        <v>11.519999999999998</v>
      </c>
      <c r="N61" s="36" t="s">
        <v>504</v>
      </c>
      <c r="O61" s="57">
        <f>O58</f>
        <v>10</v>
      </c>
      <c r="P61" s="58" t="s">
        <v>506</v>
      </c>
      <c r="Q61" s="11"/>
      <c r="R61" s="36" t="s">
        <v>451</v>
      </c>
      <c r="S61" s="135">
        <f>F61*(I61*K61-M61*O61)/10^6</f>
        <v>1.311684884396352</v>
      </c>
      <c r="T61" s="135"/>
      <c r="U61" s="59" t="s">
        <v>496</v>
      </c>
    </row>
    <row r="62" spans="1:21" ht="11.25" customHeight="1">
      <c r="A62" s="16">
        <v>60</v>
      </c>
      <c r="B62" s="41"/>
      <c r="C62" s="19"/>
      <c r="D62" s="7" t="s">
        <v>521</v>
      </c>
      <c r="E62" s="7" t="s">
        <v>451</v>
      </c>
      <c r="F62" s="120">
        <f>B26/2</f>
        <v>753.4421012924616</v>
      </c>
      <c r="G62" s="120"/>
      <c r="H62" s="32" t="s">
        <v>503</v>
      </c>
      <c r="I62" s="48">
        <f>I59</f>
        <v>12.924151199999999</v>
      </c>
      <c r="J62" s="32" t="s">
        <v>504</v>
      </c>
      <c r="K62" s="48">
        <f>K59</f>
        <v>226.69</v>
      </c>
      <c r="L62" s="32" t="s">
        <v>505</v>
      </c>
      <c r="M62" s="48">
        <f>M59</f>
        <v>11.519999999999998</v>
      </c>
      <c r="N62" s="32" t="s">
        <v>504</v>
      </c>
      <c r="O62" s="48">
        <f>O59</f>
        <v>10</v>
      </c>
      <c r="P62" s="50" t="s">
        <v>506</v>
      </c>
      <c r="Q62" s="7"/>
      <c r="R62" s="32" t="s">
        <v>451</v>
      </c>
      <c r="S62" s="121">
        <f>F62*(I62*K62-M62*O62)/10^6</f>
        <v>2.1206199317672025</v>
      </c>
      <c r="T62" s="121"/>
      <c r="U62" s="49" t="s">
        <v>496</v>
      </c>
    </row>
    <row r="63" spans="1:21" ht="11.25" customHeight="1">
      <c r="A63" s="3">
        <v>61</v>
      </c>
      <c r="B63" s="43"/>
      <c r="C63" s="23"/>
      <c r="D63" s="17" t="s">
        <v>507</v>
      </c>
      <c r="E63" s="17" t="s">
        <v>451</v>
      </c>
      <c r="F63" s="60" t="str">
        <f>D61</f>
        <v>Δzci</v>
      </c>
      <c r="G63" s="60" t="s">
        <v>510</v>
      </c>
      <c r="H63" s="60" t="str">
        <f>D62</f>
        <v>Δzco</v>
      </c>
      <c r="I63" s="17"/>
      <c r="J63" s="17"/>
      <c r="K63" s="17"/>
      <c r="L63" s="17"/>
      <c r="M63" s="17"/>
      <c r="N63" s="17"/>
      <c r="O63" s="17"/>
      <c r="P63" s="17"/>
      <c r="Q63" s="17"/>
      <c r="R63" s="60" t="s">
        <v>451</v>
      </c>
      <c r="S63" s="122">
        <f>S61+S62</f>
        <v>3.4323048161635548</v>
      </c>
      <c r="T63" s="122"/>
      <c r="U63" s="63" t="s">
        <v>496</v>
      </c>
    </row>
    <row r="64" spans="1:21" ht="11.25" customHeight="1">
      <c r="A64" s="3">
        <v>62</v>
      </c>
      <c r="B64" s="14" t="s">
        <v>511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5"/>
    </row>
    <row r="65" spans="1:21" ht="11.25" customHeight="1">
      <c r="A65" s="3">
        <v>63</v>
      </c>
      <c r="B65" s="104" t="s">
        <v>512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</row>
    <row r="66" spans="1:21" ht="11.25" customHeight="1">
      <c r="A66" s="3">
        <v>64</v>
      </c>
      <c r="B66" s="104" t="s">
        <v>513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</row>
    <row r="67" spans="1:21" ht="11.25" customHeight="1">
      <c r="A67" s="3">
        <v>65</v>
      </c>
      <c r="B67" s="105" t="s">
        <v>514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</row>
    <row r="68" spans="1:21" ht="11.25" customHeight="1">
      <c r="A68" s="3"/>
      <c r="B68" s="22" t="s">
        <v>536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09" t="s">
        <v>537</v>
      </c>
    </row>
    <row r="69" ht="11.25" customHeight="1">
      <c r="A69" s="3"/>
    </row>
    <row r="70" ht="11.25" customHeight="1">
      <c r="A70" s="3"/>
    </row>
  </sheetData>
  <mergeCells count="93">
    <mergeCell ref="C48:C49"/>
    <mergeCell ref="F48:G48"/>
    <mergeCell ref="S48:T48"/>
    <mergeCell ref="F49:G49"/>
    <mergeCell ref="S49:T49"/>
    <mergeCell ref="B1:U2"/>
    <mergeCell ref="R3:U3"/>
    <mergeCell ref="R4:U4"/>
    <mergeCell ref="R5:U5"/>
    <mergeCell ref="R7:U7"/>
    <mergeCell ref="B8:U8"/>
    <mergeCell ref="B15:U15"/>
    <mergeCell ref="G12:I12"/>
    <mergeCell ref="Q11:S11"/>
    <mergeCell ref="Q12:S12"/>
    <mergeCell ref="G14:I14"/>
    <mergeCell ref="X11:AA11"/>
    <mergeCell ref="AB11:AE11"/>
    <mergeCell ref="B9:K9"/>
    <mergeCell ref="L9:U9"/>
    <mergeCell ref="X9:AA9"/>
    <mergeCell ref="AB9:AE9"/>
    <mergeCell ref="X10:AA10"/>
    <mergeCell ref="AB10:AE10"/>
    <mergeCell ref="G10:I10"/>
    <mergeCell ref="Q10:S10"/>
    <mergeCell ref="B19:U19"/>
    <mergeCell ref="Q38:R38"/>
    <mergeCell ref="Q39:R39"/>
    <mergeCell ref="Q40:R40"/>
    <mergeCell ref="E22:F22"/>
    <mergeCell ref="Q25:Q28"/>
    <mergeCell ref="S22:T22"/>
    <mergeCell ref="J28:L28"/>
    <mergeCell ref="B26:C26"/>
    <mergeCell ref="E31:F31"/>
    <mergeCell ref="G26:I26"/>
    <mergeCell ref="L40:M40"/>
    <mergeCell ref="B36:U36"/>
    <mergeCell ref="P25:P28"/>
    <mergeCell ref="L38:M38"/>
    <mergeCell ref="H28:I28"/>
    <mergeCell ref="I37:M37"/>
    <mergeCell ref="R31:S31"/>
    <mergeCell ref="N37:R37"/>
    <mergeCell ref="N31:O31"/>
    <mergeCell ref="F59:G59"/>
    <mergeCell ref="S59:T59"/>
    <mergeCell ref="F53:G53"/>
    <mergeCell ref="S53:T53"/>
    <mergeCell ref="F58:G58"/>
    <mergeCell ref="S58:T58"/>
    <mergeCell ref="F57:G57"/>
    <mergeCell ref="S57:T57"/>
    <mergeCell ref="S44:T44"/>
    <mergeCell ref="S45:T45"/>
    <mergeCell ref="F45:G45"/>
    <mergeCell ref="S52:T52"/>
    <mergeCell ref="S50:T50"/>
    <mergeCell ref="S46:T46"/>
    <mergeCell ref="S47:T47"/>
    <mergeCell ref="C50:C51"/>
    <mergeCell ref="C52:C53"/>
    <mergeCell ref="S51:T51"/>
    <mergeCell ref="S63:T63"/>
    <mergeCell ref="F54:G54"/>
    <mergeCell ref="S54:T54"/>
    <mergeCell ref="F55:G55"/>
    <mergeCell ref="S55:T55"/>
    <mergeCell ref="S60:T60"/>
    <mergeCell ref="S56:T56"/>
    <mergeCell ref="F61:G61"/>
    <mergeCell ref="S61:T61"/>
    <mergeCell ref="F62:G62"/>
    <mergeCell ref="S62:T62"/>
    <mergeCell ref="B52:B53"/>
    <mergeCell ref="C44:C45"/>
    <mergeCell ref="B38:G39"/>
    <mergeCell ref="F52:G52"/>
    <mergeCell ref="F50:G50"/>
    <mergeCell ref="B44:B45"/>
    <mergeCell ref="F44:G44"/>
    <mergeCell ref="B50:B51"/>
    <mergeCell ref="F51:G51"/>
    <mergeCell ref="B48:B49"/>
    <mergeCell ref="J24:K24"/>
    <mergeCell ref="K22:L22"/>
    <mergeCell ref="M24:N24"/>
    <mergeCell ref="N22:O22"/>
    <mergeCell ref="B46:B47"/>
    <mergeCell ref="C46:C47"/>
    <mergeCell ref="F46:G46"/>
    <mergeCell ref="F47:G47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70"/>
  <sheetViews>
    <sheetView zoomScaleSheetLayoutView="100" workbookViewId="0" topLeftCell="A1">
      <selection activeCell="O7" sqref="O7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65" t="s">
        <v>424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425</v>
      </c>
      <c r="C3" s="5"/>
      <c r="D3" s="5"/>
      <c r="E3" s="108" t="s">
        <v>426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427</v>
      </c>
      <c r="Q3" s="11"/>
      <c r="R3" s="171" t="s">
        <v>428</v>
      </c>
      <c r="S3" s="171"/>
      <c r="T3" s="171"/>
      <c r="U3" s="172"/>
    </row>
    <row r="4" spans="1:24" ht="11.25" customHeight="1">
      <c r="A4" s="3">
        <v>2</v>
      </c>
      <c r="B4" s="6" t="s">
        <v>429</v>
      </c>
      <c r="C4" s="7"/>
      <c r="D4" s="7"/>
      <c r="E4" s="20" t="s">
        <v>430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431</v>
      </c>
      <c r="Q4" s="7"/>
      <c r="R4" s="153" t="s">
        <v>432</v>
      </c>
      <c r="S4" s="153"/>
      <c r="T4" s="153"/>
      <c r="U4" s="154"/>
      <c r="X4" s="103" t="str">
        <f>G10</f>
        <v>Steam</v>
      </c>
    </row>
    <row r="5" spans="1:24" ht="11.25" customHeight="1">
      <c r="A5" s="3">
        <v>3</v>
      </c>
      <c r="B5" s="6" t="s">
        <v>433</v>
      </c>
      <c r="C5" s="7"/>
      <c r="D5" s="7"/>
      <c r="E5" s="20" t="s">
        <v>434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435</v>
      </c>
      <c r="Q5" s="7"/>
      <c r="R5" s="164" t="s">
        <v>534</v>
      </c>
      <c r="S5" s="164"/>
      <c r="T5" s="164"/>
      <c r="U5" s="173"/>
      <c r="X5" s="2" t="s">
        <v>423</v>
      </c>
    </row>
    <row r="6" spans="1:28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436</v>
      </c>
      <c r="Q6" s="23"/>
      <c r="R6" s="24">
        <v>0</v>
      </c>
      <c r="S6" s="25"/>
      <c r="T6" s="25"/>
      <c r="U6" s="26"/>
      <c r="X6" s="111">
        <f>26.312-pressconv(1.033227,"kg/cm2.g",Y6)</f>
        <v>25.298750444045</v>
      </c>
      <c r="Y6" s="2" t="s">
        <v>418</v>
      </c>
      <c r="AA6" s="3">
        <f>tempconv(fprop(X10,X11,0,J12,X6,Y6,"Yes",1,0,0),"℃",J12)</f>
        <v>226.69275441565946</v>
      </c>
      <c r="AB6" s="2" t="s">
        <v>437</v>
      </c>
    </row>
    <row r="7" spans="1:28" ht="11.25" customHeight="1">
      <c r="A7" s="3">
        <v>5</v>
      </c>
      <c r="B7" s="10" t="s">
        <v>438</v>
      </c>
      <c r="C7" s="11"/>
      <c r="D7" s="11"/>
      <c r="E7" s="39" t="s">
        <v>530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439</v>
      </c>
      <c r="Q7" s="11"/>
      <c r="R7" s="161" t="s">
        <v>531</v>
      </c>
      <c r="S7" s="161"/>
      <c r="T7" s="161"/>
      <c r="U7" s="162"/>
      <c r="X7" s="3">
        <f>IF(X5&lt;&gt;"S/H",AA6,AA7)</f>
        <v>502.69</v>
      </c>
      <c r="AA7" s="111">
        <v>502.69</v>
      </c>
      <c r="AB7" s="2" t="s">
        <v>440</v>
      </c>
    </row>
    <row r="8" spans="1:21" ht="11.25" customHeight="1">
      <c r="A8" s="3">
        <v>6</v>
      </c>
      <c r="B8" s="145" t="s">
        <v>441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</row>
    <row r="9" spans="1:31" ht="11.25" customHeight="1">
      <c r="A9" s="3">
        <v>7</v>
      </c>
      <c r="B9" s="140" t="s">
        <v>442</v>
      </c>
      <c r="C9" s="139"/>
      <c r="D9" s="139"/>
      <c r="E9" s="139"/>
      <c r="F9" s="139"/>
      <c r="G9" s="139"/>
      <c r="H9" s="139"/>
      <c r="I9" s="139"/>
      <c r="J9" s="139"/>
      <c r="K9" s="155"/>
      <c r="L9" s="140" t="s">
        <v>443</v>
      </c>
      <c r="M9" s="139"/>
      <c r="N9" s="139"/>
      <c r="O9" s="139"/>
      <c r="P9" s="139"/>
      <c r="Q9" s="139"/>
      <c r="R9" s="139"/>
      <c r="S9" s="139"/>
      <c r="T9" s="139"/>
      <c r="U9" s="155"/>
      <c r="V9" s="33"/>
      <c r="W9" s="34"/>
      <c r="X9" s="156" t="s">
        <v>442</v>
      </c>
      <c r="Y9" s="157"/>
      <c r="Z9" s="157"/>
      <c r="AA9" s="157"/>
      <c r="AB9" s="156" t="s">
        <v>443</v>
      </c>
      <c r="AC9" s="157"/>
      <c r="AD9" s="157"/>
      <c r="AE9" s="157"/>
    </row>
    <row r="10" spans="1:31" ht="11.25" customHeight="1">
      <c r="A10" s="3">
        <v>8</v>
      </c>
      <c r="B10" s="10" t="s">
        <v>444</v>
      </c>
      <c r="C10" s="11"/>
      <c r="D10" s="11"/>
      <c r="E10" s="11"/>
      <c r="F10" s="11"/>
      <c r="G10" s="161" t="s">
        <v>445</v>
      </c>
      <c r="H10" s="161"/>
      <c r="I10" s="161"/>
      <c r="J10" s="11"/>
      <c r="K10" s="11"/>
      <c r="L10" s="10" t="str">
        <f>B10</f>
        <v> Fluid Name</v>
      </c>
      <c r="M10" s="11"/>
      <c r="N10" s="11"/>
      <c r="O10" s="11"/>
      <c r="P10" s="11"/>
      <c r="Q10" s="161" t="s">
        <v>526</v>
      </c>
      <c r="R10" s="161"/>
      <c r="S10" s="161"/>
      <c r="T10" s="11"/>
      <c r="U10" s="15"/>
      <c r="V10" s="10" t="s">
        <v>446</v>
      </c>
      <c r="W10" s="15"/>
      <c r="X10" s="158" t="s">
        <v>20</v>
      </c>
      <c r="Y10" s="159"/>
      <c r="Z10" s="159"/>
      <c r="AA10" s="160"/>
      <c r="AB10" s="158"/>
      <c r="AC10" s="159"/>
      <c r="AD10" s="159"/>
      <c r="AE10" s="159"/>
    </row>
    <row r="11" spans="1:31" ht="11.25" customHeight="1">
      <c r="A11" s="3">
        <v>9</v>
      </c>
      <c r="B11" s="6" t="s">
        <v>447</v>
      </c>
      <c r="C11" s="7"/>
      <c r="D11" s="7"/>
      <c r="E11" s="7"/>
      <c r="F11" s="7"/>
      <c r="G11" s="32">
        <f>X6</f>
        <v>25.298750444045</v>
      </c>
      <c r="H11" s="32" t="s">
        <v>448</v>
      </c>
      <c r="I11" s="32">
        <f>G11+pressconv(1.033227,"kg/cm2.g",Y6)</f>
        <v>26.312</v>
      </c>
      <c r="J11" s="7" t="str">
        <f>Y6</f>
        <v>bar.g</v>
      </c>
      <c r="K11" s="7" t="str">
        <f>"/ "&amp;upsa(Y6)</f>
        <v>/ bar.a</v>
      </c>
      <c r="L11" s="6" t="s">
        <v>449</v>
      </c>
      <c r="M11" s="7"/>
      <c r="N11" s="7"/>
      <c r="O11" s="28" t="s">
        <v>450</v>
      </c>
      <c r="P11" s="7" t="s">
        <v>451</v>
      </c>
      <c r="Q11" s="164">
        <v>281.5</v>
      </c>
      <c r="R11" s="164"/>
      <c r="S11" s="164"/>
      <c r="T11" s="7" t="str">
        <f>J12</f>
        <v>℃</v>
      </c>
      <c r="U11" s="1"/>
      <c r="V11" s="6" t="s">
        <v>452</v>
      </c>
      <c r="W11" s="1"/>
      <c r="X11" s="152" t="s">
        <v>21</v>
      </c>
      <c r="Y11" s="153"/>
      <c r="Z11" s="153"/>
      <c r="AA11" s="154"/>
      <c r="AB11" s="152"/>
      <c r="AC11" s="153"/>
      <c r="AD11" s="153"/>
      <c r="AE11" s="153"/>
    </row>
    <row r="12" spans="1:21" ht="11.25" customHeight="1">
      <c r="A12" s="3">
        <v>10</v>
      </c>
      <c r="B12" s="6" t="s">
        <v>352</v>
      </c>
      <c r="C12" s="7"/>
      <c r="D12" s="7"/>
      <c r="E12" s="28" t="s">
        <v>227</v>
      </c>
      <c r="F12" s="7" t="s">
        <v>451</v>
      </c>
      <c r="G12" s="163">
        <f>X7</f>
        <v>502.69</v>
      </c>
      <c r="H12" s="163"/>
      <c r="I12" s="163"/>
      <c r="J12" s="7" t="s">
        <v>19</v>
      </c>
      <c r="K12" s="7"/>
      <c r="L12" s="6" t="s">
        <v>453</v>
      </c>
      <c r="M12" s="7"/>
      <c r="N12" s="7"/>
      <c r="O12" s="28" t="s">
        <v>454</v>
      </c>
      <c r="P12" s="7" t="s">
        <v>451</v>
      </c>
      <c r="Q12" s="164">
        <v>286.45</v>
      </c>
      <c r="R12" s="164"/>
      <c r="S12" s="164"/>
      <c r="T12" s="7" t="str">
        <f>T11</f>
        <v>℃</v>
      </c>
      <c r="U12" s="1"/>
    </row>
    <row r="13" spans="1:24" ht="11.25" customHeight="1">
      <c r="A13" s="3">
        <v>11</v>
      </c>
      <c r="B13" s="6" t="s">
        <v>455</v>
      </c>
      <c r="C13" s="7"/>
      <c r="D13" s="7"/>
      <c r="E13" s="7"/>
      <c r="F13" s="7"/>
      <c r="G13" s="2" t="s">
        <v>525</v>
      </c>
      <c r="H13" s="7"/>
      <c r="I13" s="7"/>
      <c r="J13" s="7"/>
      <c r="K13" s="7"/>
      <c r="L13" s="6" t="s">
        <v>456</v>
      </c>
      <c r="M13" s="7"/>
      <c r="N13" s="7"/>
      <c r="O13" s="7"/>
      <c r="P13" s="7"/>
      <c r="Q13" s="2" t="s">
        <v>532</v>
      </c>
      <c r="R13" s="7"/>
      <c r="S13" s="7"/>
      <c r="T13" s="7"/>
      <c r="U13" s="1"/>
      <c r="V13" s="2" t="s">
        <v>457</v>
      </c>
      <c r="X13" s="2" t="s">
        <v>22</v>
      </c>
    </row>
    <row r="14" spans="1:28" ht="11.25" customHeight="1">
      <c r="A14" s="3">
        <v>12</v>
      </c>
      <c r="B14" s="10" t="s">
        <v>458</v>
      </c>
      <c r="C14" s="11"/>
      <c r="D14" s="11"/>
      <c r="E14" s="30" t="s">
        <v>459</v>
      </c>
      <c r="F14" s="11" t="s">
        <v>451</v>
      </c>
      <c r="G14" s="161">
        <v>10</v>
      </c>
      <c r="H14" s="161"/>
      <c r="I14" s="161"/>
      <c r="J14" s="11" t="str">
        <f>J12</f>
        <v>℃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X14" s="2" t="s">
        <v>23</v>
      </c>
      <c r="AB14" s="2" t="s">
        <v>23</v>
      </c>
    </row>
    <row r="15" spans="1:21" ht="11.25" customHeight="1">
      <c r="A15" s="3">
        <v>13</v>
      </c>
      <c r="B15" s="145" t="s">
        <v>460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1.25" customHeight="1">
      <c r="A16" s="3">
        <v>14</v>
      </c>
      <c r="B16" s="75" t="s">
        <v>461</v>
      </c>
      <c r="C16" s="5" t="s">
        <v>462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1.25" customHeight="1">
      <c r="A17" s="3">
        <v>15</v>
      </c>
      <c r="B17" s="76" t="s">
        <v>463</v>
      </c>
      <c r="C17" s="7" t="s">
        <v>464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76" t="s">
        <v>465</v>
      </c>
      <c r="C18" s="7" t="s">
        <v>466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145" t="s">
        <v>467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</row>
    <row r="20" spans="1:21" ht="11.25" customHeight="1">
      <c r="A20" s="3">
        <v>18</v>
      </c>
      <c r="B20" s="83"/>
      <c r="C20" s="40"/>
      <c r="D20" s="85" t="s">
        <v>468</v>
      </c>
      <c r="E20" s="87">
        <f>S60</f>
        <v>-2.5030719739527116</v>
      </c>
      <c r="F20" s="87">
        <f>S63</f>
        <v>4.372544757417174</v>
      </c>
      <c r="G20" s="40" t="s">
        <v>469</v>
      </c>
      <c r="H20" s="40"/>
      <c r="I20" s="40"/>
      <c r="J20" s="85" t="s">
        <v>468</v>
      </c>
      <c r="K20" s="87">
        <f>S44</f>
        <v>10.244901988750104</v>
      </c>
      <c r="L20" s="87">
        <f>S45</f>
        <v>7.497308731891969</v>
      </c>
      <c r="M20" s="40" t="s">
        <v>469</v>
      </c>
      <c r="N20" s="85" t="s">
        <v>468</v>
      </c>
      <c r="O20" s="87" t="str">
        <f>IF(N22="***","***",S46)</f>
        <v>***</v>
      </c>
      <c r="P20" s="87" t="str">
        <f>IF(N22="***","***",S47)</f>
        <v>***</v>
      </c>
      <c r="Q20" s="40" t="s">
        <v>469</v>
      </c>
      <c r="R20" s="85" t="str">
        <f>IF(S22="***","***","Δ (")</f>
        <v>***</v>
      </c>
      <c r="S20" s="87" t="str">
        <f>IF(S22="***","***",S48)</f>
        <v>***</v>
      </c>
      <c r="T20" s="87" t="str">
        <f>IF(S22="***","***",S49)</f>
        <v>***</v>
      </c>
      <c r="U20" s="34" t="str">
        <f>IF(S22="***","***",")")</f>
        <v>***</v>
      </c>
    </row>
    <row r="21" spans="1:21" ht="11.25" customHeight="1">
      <c r="A21" s="3">
        <v>19</v>
      </c>
      <c r="B21" s="41"/>
      <c r="C21" s="19"/>
      <c r="D21" s="31" t="str">
        <f>E22&amp;" ("</f>
        <v>B (</v>
      </c>
      <c r="E21" s="47">
        <f>-(F26+G26)</f>
        <v>-564</v>
      </c>
      <c r="F21" s="47">
        <f>Q25/2+B26/2</f>
        <v>1206.4421012924618</v>
      </c>
      <c r="G21" s="19" t="s">
        <v>469</v>
      </c>
      <c r="H21" s="19"/>
      <c r="I21" s="19"/>
      <c r="J21" s="31" t="str">
        <f>K22&amp;" ("</f>
        <v>C (</v>
      </c>
      <c r="K21" s="47">
        <f>J24</f>
        <v>1443</v>
      </c>
      <c r="L21" s="47">
        <f>Q25+M23</f>
        <v>1056</v>
      </c>
      <c r="M21" s="19" t="s">
        <v>469</v>
      </c>
      <c r="N21" s="31" t="str">
        <f>N22&amp;" ("</f>
        <v>*** (</v>
      </c>
      <c r="O21" s="47" t="str">
        <f>IF(N22="***","***",J24+M24)</f>
        <v>***</v>
      </c>
      <c r="P21" s="47" t="str">
        <f>IF(N22="***","***",L21)</f>
        <v>***</v>
      </c>
      <c r="Q21" s="19" t="s">
        <v>469</v>
      </c>
      <c r="R21" s="31" t="str">
        <f>IF(S22="***","***",S22&amp;" (")</f>
        <v>***</v>
      </c>
      <c r="S21" s="116" t="str">
        <f>IF(S22="***","***",N31+S24)</f>
        <v>***</v>
      </c>
      <c r="T21" s="47" t="str">
        <f>IF(S22="***","***",Q25+U23)</f>
        <v>***</v>
      </c>
      <c r="U21" s="42" t="str">
        <f>IF(S22="***","***",")")</f>
        <v>***</v>
      </c>
    </row>
    <row r="22" spans="1:21" ht="11.25" customHeight="1">
      <c r="A22" s="3">
        <v>20</v>
      </c>
      <c r="B22" s="41"/>
      <c r="C22" s="19"/>
      <c r="D22" s="19"/>
      <c r="E22" s="143" t="s">
        <v>470</v>
      </c>
      <c r="F22" s="143"/>
      <c r="G22" s="82">
        <v>30</v>
      </c>
      <c r="H22" s="19" t="s">
        <v>527</v>
      </c>
      <c r="I22" s="19"/>
      <c r="J22" s="19"/>
      <c r="K22" s="143" t="s">
        <v>471</v>
      </c>
      <c r="L22" s="143"/>
      <c r="M22" s="113"/>
      <c r="N22" s="143" t="s">
        <v>472</v>
      </c>
      <c r="O22" s="143"/>
      <c r="P22" s="19"/>
      <c r="Q22" s="19"/>
      <c r="R22" s="19"/>
      <c r="S22" s="143" t="s">
        <v>533</v>
      </c>
      <c r="T22" s="143"/>
      <c r="U22" s="42"/>
    </row>
    <row r="23" spans="1:21" ht="11.25" customHeight="1">
      <c r="A23" s="3">
        <v>21</v>
      </c>
      <c r="B23" s="4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82">
        <v>150</v>
      </c>
      <c r="O23" s="19"/>
      <c r="P23" s="82">
        <v>32</v>
      </c>
      <c r="Q23" s="46" t="s">
        <v>473</v>
      </c>
      <c r="R23" s="19"/>
      <c r="S23" s="19"/>
      <c r="T23" s="19"/>
      <c r="U23" s="114">
        <v>0</v>
      </c>
    </row>
    <row r="24" spans="1:21" ht="11.25" customHeight="1">
      <c r="A24" s="3">
        <v>22</v>
      </c>
      <c r="B24" s="41"/>
      <c r="C24" s="19"/>
      <c r="D24" s="19"/>
      <c r="E24" s="19"/>
      <c r="F24" s="19"/>
      <c r="G24" s="19"/>
      <c r="H24" s="19"/>
      <c r="I24" s="19"/>
      <c r="J24" s="144">
        <f>200+500+1435-182-510</f>
        <v>1443</v>
      </c>
      <c r="K24" s="144"/>
      <c r="L24" s="112"/>
      <c r="M24" s="144">
        <v>0</v>
      </c>
      <c r="N24" s="144"/>
      <c r="O24" s="19"/>
      <c r="P24" s="81" t="s">
        <v>474</v>
      </c>
      <c r="Q24" s="81" t="s">
        <v>475</v>
      </c>
      <c r="R24" s="19"/>
      <c r="S24" s="82">
        <v>0</v>
      </c>
      <c r="T24" s="19"/>
      <c r="U24" s="42"/>
    </row>
    <row r="25" spans="1:21" ht="11.25" customHeight="1">
      <c r="A25" s="3">
        <v>23</v>
      </c>
      <c r="B25" s="41"/>
      <c r="C25" s="19"/>
      <c r="D25" s="109">
        <v>870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51">
        <v>842</v>
      </c>
      <c r="Q25" s="149">
        <f>P25+2*P23</f>
        <v>906</v>
      </c>
      <c r="R25" s="19"/>
      <c r="S25" s="19"/>
      <c r="T25" s="19"/>
      <c r="U25" s="42"/>
    </row>
    <row r="26" spans="1:21" ht="11.25" customHeight="1">
      <c r="A26" s="3">
        <v>24</v>
      </c>
      <c r="B26" s="186">
        <f>D25*COS(G22/180*PI())*2</f>
        <v>1506.8842025849233</v>
      </c>
      <c r="C26" s="187"/>
      <c r="D26" s="19"/>
      <c r="E26" s="19"/>
      <c r="F26" s="78">
        <f>D25*SIN(G22/180*PI())</f>
        <v>434.99999999999994</v>
      </c>
      <c r="G26" s="144">
        <f>329-200</f>
        <v>129</v>
      </c>
      <c r="H26" s="144"/>
      <c r="I26" s="144"/>
      <c r="J26" s="19"/>
      <c r="K26" s="19"/>
      <c r="L26" s="19"/>
      <c r="M26" s="19"/>
      <c r="N26" s="19"/>
      <c r="O26" s="19"/>
      <c r="P26" s="151"/>
      <c r="Q26" s="149"/>
      <c r="R26" s="19"/>
      <c r="S26" s="19"/>
      <c r="T26" s="19"/>
      <c r="U26" s="42"/>
    </row>
    <row r="27" spans="1:21" ht="11.25" customHeight="1">
      <c r="A27" s="3">
        <v>25</v>
      </c>
      <c r="B27" s="4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51"/>
      <c r="Q27" s="149"/>
      <c r="R27" s="19"/>
      <c r="S27" s="19"/>
      <c r="T27" s="19"/>
      <c r="U27" s="42"/>
    </row>
    <row r="28" spans="1:21" ht="11.25" customHeight="1">
      <c r="A28" s="3">
        <v>26</v>
      </c>
      <c r="B28" s="84"/>
      <c r="C28" s="19"/>
      <c r="D28" s="19"/>
      <c r="E28" s="19"/>
      <c r="F28" s="19"/>
      <c r="G28" s="19"/>
      <c r="H28" s="143">
        <v>-450</v>
      </c>
      <c r="I28" s="143"/>
      <c r="J28" s="174"/>
      <c r="K28" s="174"/>
      <c r="L28" s="174"/>
      <c r="M28" s="19"/>
      <c r="N28" s="19"/>
      <c r="O28" s="19"/>
      <c r="P28" s="151"/>
      <c r="Q28" s="149"/>
      <c r="R28" s="19"/>
      <c r="S28" s="19"/>
      <c r="T28" s="19"/>
      <c r="U28" s="42"/>
    </row>
    <row r="29" spans="1:21" ht="11.25" customHeight="1">
      <c r="A29" s="3">
        <v>27</v>
      </c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/>
    </row>
    <row r="30" spans="1:21" ht="11.25" customHeight="1">
      <c r="A30" s="3">
        <v>28</v>
      </c>
      <c r="B30" s="41"/>
      <c r="D30" s="19"/>
      <c r="E30" s="19"/>
      <c r="F30" s="19"/>
      <c r="G30" s="110">
        <v>150</v>
      </c>
      <c r="H30" s="19"/>
      <c r="I30" s="19"/>
      <c r="J30" s="19"/>
      <c r="K30" s="19"/>
      <c r="L30" s="19"/>
      <c r="M30" s="19"/>
      <c r="N30" s="51"/>
      <c r="O30" s="19"/>
      <c r="P30" s="19"/>
      <c r="Q30" s="19"/>
      <c r="R30" s="19"/>
      <c r="S30" s="19"/>
      <c r="T30" s="82">
        <v>0</v>
      </c>
      <c r="U30" s="42"/>
    </row>
    <row r="31" spans="1:21" ht="11.25" customHeight="1">
      <c r="A31" s="3">
        <v>29</v>
      </c>
      <c r="B31" s="41"/>
      <c r="D31" s="19"/>
      <c r="E31" s="143" t="s">
        <v>476</v>
      </c>
      <c r="F31" s="143"/>
      <c r="G31" s="19"/>
      <c r="H31" s="22" t="s">
        <v>477</v>
      </c>
      <c r="I31" s="19"/>
      <c r="J31" s="19"/>
      <c r="K31" s="19"/>
      <c r="L31" s="19"/>
      <c r="M31" s="19"/>
      <c r="N31" s="144">
        <v>0</v>
      </c>
      <c r="O31" s="144"/>
      <c r="P31" s="19"/>
      <c r="Q31" s="19"/>
      <c r="R31" s="143" t="s">
        <v>533</v>
      </c>
      <c r="S31" s="143"/>
      <c r="T31" s="19"/>
      <c r="U31" s="42"/>
    </row>
    <row r="32" spans="1:21" ht="11.25" customHeight="1">
      <c r="A32" s="3">
        <v>30</v>
      </c>
      <c r="B32" s="41"/>
      <c r="D32" s="31" t="str">
        <f>E31&amp;" ("</f>
        <v>A (</v>
      </c>
      <c r="E32" s="47">
        <f>E21</f>
        <v>-564</v>
      </c>
      <c r="F32" s="47">
        <f>Q25/2-B26/2</f>
        <v>-300.44210129246164</v>
      </c>
      <c r="G32" s="31" t="str">
        <f>")  "&amp;H31&amp;" ("</f>
        <v>)  E (</v>
      </c>
      <c r="H32" s="47">
        <f>-H28</f>
        <v>450</v>
      </c>
      <c r="I32" s="47">
        <f>-G30</f>
        <v>-150</v>
      </c>
      <c r="J32" s="19" t="s">
        <v>469</v>
      </c>
      <c r="K32" s="31"/>
      <c r="L32" s="47"/>
      <c r="M32" s="47"/>
      <c r="N32" s="19"/>
      <c r="O32" s="19"/>
      <c r="P32" s="19"/>
      <c r="Q32" s="31" t="str">
        <f>R31&amp;" ("</f>
        <v>*** (</v>
      </c>
      <c r="R32" s="53" t="str">
        <f>IF(R31="***","***",N31)</f>
        <v>***</v>
      </c>
      <c r="S32" s="47" t="str">
        <f>IF(R31="***","***",-T30)</f>
        <v>***</v>
      </c>
      <c r="T32" s="19" t="s">
        <v>469</v>
      </c>
      <c r="U32" s="42"/>
    </row>
    <row r="33" spans="1:21" ht="11.25" customHeight="1">
      <c r="A33" s="3">
        <v>31</v>
      </c>
      <c r="B33" s="84"/>
      <c r="D33" s="31" t="s">
        <v>468</v>
      </c>
      <c r="E33" s="86">
        <f>S56</f>
        <v>-2.474778268952712</v>
      </c>
      <c r="F33" s="86">
        <f>S57</f>
        <v>-1.0766973628228076</v>
      </c>
      <c r="G33" s="19" t="s">
        <v>479</v>
      </c>
      <c r="H33" s="86">
        <f>S52</f>
        <v>3.1948758800676</v>
      </c>
      <c r="I33" s="86">
        <f>S53</f>
        <v>-1.0649586266892002</v>
      </c>
      <c r="J33" s="19" t="s">
        <v>469</v>
      </c>
      <c r="K33" s="19"/>
      <c r="L33" s="19"/>
      <c r="M33" s="19"/>
      <c r="N33" s="19"/>
      <c r="O33" s="19"/>
      <c r="P33" s="19"/>
      <c r="Q33" s="31" t="s">
        <v>468</v>
      </c>
      <c r="R33" s="86" t="str">
        <f>IF(R31="***","***",S50)</f>
        <v>***</v>
      </c>
      <c r="S33" s="86" t="str">
        <f>IF(R31="***","***",S51)</f>
        <v>***</v>
      </c>
      <c r="T33" s="19" t="s">
        <v>469</v>
      </c>
      <c r="U33" s="42"/>
    </row>
    <row r="34" spans="1:21" ht="11.25" customHeight="1">
      <c r="A34" s="3">
        <v>32</v>
      </c>
      <c r="B34" s="41"/>
      <c r="C34" s="19"/>
      <c r="D34" s="19"/>
      <c r="E34" s="19"/>
      <c r="F34" s="19"/>
      <c r="G34" s="19"/>
      <c r="H34" s="19"/>
      <c r="I34" s="19"/>
      <c r="J34" s="19"/>
      <c r="K34" s="19"/>
      <c r="N34" s="112"/>
      <c r="O34" s="19"/>
      <c r="P34" s="112"/>
      <c r="Q34" s="19"/>
      <c r="R34" s="19"/>
      <c r="S34" s="19"/>
      <c r="T34" s="19"/>
      <c r="U34" s="42"/>
    </row>
    <row r="35" spans="1:21" ht="11.25" customHeight="1">
      <c r="A35" s="3">
        <v>33</v>
      </c>
      <c r="B35" s="4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4"/>
    </row>
    <row r="36" spans="1:21" ht="11.25" customHeight="1">
      <c r="A36" s="3">
        <v>34</v>
      </c>
      <c r="B36" s="145" t="s">
        <v>480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ht="11.25" customHeight="1">
      <c r="A37" s="3">
        <v>35</v>
      </c>
      <c r="B37" s="33"/>
      <c r="C37" s="40"/>
      <c r="D37" s="40"/>
      <c r="E37" s="40"/>
      <c r="F37" s="40"/>
      <c r="G37" s="40"/>
      <c r="H37" s="11"/>
      <c r="I37" s="139" t="str">
        <f>B13</f>
        <v> Shell Material</v>
      </c>
      <c r="J37" s="139"/>
      <c r="K37" s="139"/>
      <c r="L37" s="139"/>
      <c r="M37" s="139"/>
      <c r="N37" s="140" t="str">
        <f>L13</f>
        <v> Channel Material</v>
      </c>
      <c r="O37" s="139"/>
      <c r="P37" s="139"/>
      <c r="Q37" s="139"/>
      <c r="R37" s="139"/>
      <c r="S37" s="11"/>
      <c r="T37" s="11"/>
      <c r="U37" s="15"/>
    </row>
    <row r="38" spans="1:21" ht="11.25" customHeight="1">
      <c r="A38" s="3">
        <v>36</v>
      </c>
      <c r="B38" s="129" t="s">
        <v>481</v>
      </c>
      <c r="C38" s="130"/>
      <c r="D38" s="130"/>
      <c r="E38" s="130"/>
      <c r="F38" s="130"/>
      <c r="G38" s="130"/>
      <c r="H38" s="28" t="s">
        <v>482</v>
      </c>
      <c r="I38" s="36" t="s">
        <v>483</v>
      </c>
      <c r="J38" s="11" t="s">
        <v>484</v>
      </c>
      <c r="K38" s="11"/>
      <c r="L38" s="137">
        <f>alphaTEMA(mindex(G13,40),G12,J12)</f>
        <v>14.3526312</v>
      </c>
      <c r="M38" s="137"/>
      <c r="N38" s="35" t="s">
        <v>483</v>
      </c>
      <c r="O38" s="11" t="s">
        <v>485</v>
      </c>
      <c r="P38" s="11"/>
      <c r="Q38" s="137">
        <f>alphaTEMA(mindex(Q13,40),Q11,T11)</f>
        <v>13.139999999999999</v>
      </c>
      <c r="R38" s="137"/>
      <c r="S38" s="7" t="s">
        <v>486</v>
      </c>
      <c r="T38" s="7"/>
      <c r="U38" s="1"/>
    </row>
    <row r="39" spans="1:21" ht="11.25" customHeight="1">
      <c r="A39" s="3">
        <v>37</v>
      </c>
      <c r="B39" s="129"/>
      <c r="C39" s="130"/>
      <c r="D39" s="130"/>
      <c r="E39" s="130"/>
      <c r="F39" s="130"/>
      <c r="G39" s="130"/>
      <c r="H39" s="7"/>
      <c r="I39" s="7"/>
      <c r="J39" s="7"/>
      <c r="K39" s="7"/>
      <c r="L39" s="7"/>
      <c r="M39" s="7"/>
      <c r="N39" s="37" t="s">
        <v>483</v>
      </c>
      <c r="O39" s="7" t="s">
        <v>487</v>
      </c>
      <c r="P39" s="7"/>
      <c r="Q39" s="141">
        <f>alphaTEMA(mindex(Q13,40),Q12,T12)</f>
        <v>13.139999999999999</v>
      </c>
      <c r="R39" s="141"/>
      <c r="S39" s="7" t="str">
        <f>S38</f>
        <v>mm / mm ℃ / 10^6</v>
      </c>
      <c r="T39" s="7"/>
      <c r="U39" s="1"/>
    </row>
    <row r="40" spans="1:21" ht="11.25" customHeight="1">
      <c r="A40" s="3">
        <v>38</v>
      </c>
      <c r="B40" s="43"/>
      <c r="C40" s="23"/>
      <c r="D40" s="23"/>
      <c r="E40" s="23"/>
      <c r="F40" s="23"/>
      <c r="G40" s="23"/>
      <c r="H40" s="29" t="s">
        <v>488</v>
      </c>
      <c r="I40" s="64" t="s">
        <v>483</v>
      </c>
      <c r="J40" s="8" t="s">
        <v>489</v>
      </c>
      <c r="K40" s="8"/>
      <c r="L40" s="138">
        <f>alphaTEMA(mindex(G13,40),G14,J14)</f>
        <v>11.519999999999998</v>
      </c>
      <c r="M40" s="138"/>
      <c r="N40" s="68" t="s">
        <v>483</v>
      </c>
      <c r="O40" s="17" t="str">
        <f>J40</f>
        <v>Ambient Temp.</v>
      </c>
      <c r="P40" s="17"/>
      <c r="Q40" s="142">
        <f>alphaTEMA(mindex(Q13,40),G14,J14)</f>
        <v>11.519999999999998</v>
      </c>
      <c r="R40" s="142"/>
      <c r="S40" s="8" t="str">
        <f>S38</f>
        <v>mm / mm ℃ / 10^6</v>
      </c>
      <c r="T40" s="8"/>
      <c r="U40" s="12"/>
    </row>
    <row r="41" spans="1:21" ht="11.25" customHeight="1">
      <c r="A41" s="3">
        <v>39</v>
      </c>
      <c r="B41" s="77" t="s">
        <v>490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</row>
    <row r="42" spans="1:21" ht="11.25" customHeight="1">
      <c r="A42" s="3">
        <v>40</v>
      </c>
      <c r="B42" s="41"/>
      <c r="C42" s="45" t="s">
        <v>491</v>
      </c>
      <c r="D42" s="19" t="s">
        <v>451</v>
      </c>
      <c r="E42" s="19" t="s">
        <v>492</v>
      </c>
      <c r="F42" s="19"/>
      <c r="G42" s="19"/>
      <c r="H42" s="19"/>
      <c r="I42" s="19"/>
      <c r="J42" s="19"/>
      <c r="K42" s="31" t="s">
        <v>493</v>
      </c>
      <c r="L42" s="45" t="s">
        <v>494</v>
      </c>
      <c r="M42" s="19" t="s">
        <v>495</v>
      </c>
      <c r="N42" s="19"/>
      <c r="O42" s="19" t="s">
        <v>496</v>
      </c>
      <c r="P42" s="78" t="s">
        <v>497</v>
      </c>
      <c r="Q42" s="19" t="s">
        <v>498</v>
      </c>
      <c r="R42" s="19"/>
      <c r="S42" s="19"/>
      <c r="T42" s="19"/>
      <c r="U42" s="79" t="s">
        <v>499</v>
      </c>
    </row>
    <row r="43" spans="1:21" ht="11.25" customHeight="1">
      <c r="A43" s="3">
        <v>41</v>
      </c>
      <c r="B43" s="43"/>
      <c r="C43" s="23"/>
      <c r="D43" s="23"/>
      <c r="E43" s="23"/>
      <c r="F43" s="23"/>
      <c r="G43" s="23"/>
      <c r="H43" s="23"/>
      <c r="I43" s="23"/>
      <c r="J43" s="23"/>
      <c r="K43" s="23"/>
      <c r="L43" s="102" t="s">
        <v>491</v>
      </c>
      <c r="M43" s="23" t="s">
        <v>500</v>
      </c>
      <c r="N43" s="23"/>
      <c r="O43" s="23" t="s">
        <v>496</v>
      </c>
      <c r="P43" s="23"/>
      <c r="Q43" s="23"/>
      <c r="R43" s="23"/>
      <c r="S43" s="23"/>
      <c r="T43" s="23"/>
      <c r="U43" s="44"/>
    </row>
    <row r="44" spans="1:21" ht="11.25" customHeight="1">
      <c r="A44" s="3">
        <v>42</v>
      </c>
      <c r="B44" s="132" t="s">
        <v>501</v>
      </c>
      <c r="C44" s="123" t="str">
        <f>K22</f>
        <v>C</v>
      </c>
      <c r="D44" s="5" t="s">
        <v>502</v>
      </c>
      <c r="E44" s="5" t="s">
        <v>451</v>
      </c>
      <c r="F44" s="119">
        <f>K21</f>
        <v>1443</v>
      </c>
      <c r="G44" s="119"/>
      <c r="H44" s="38" t="s">
        <v>503</v>
      </c>
      <c r="I44" s="54">
        <f>L38</f>
        <v>14.3526312</v>
      </c>
      <c r="J44" s="38" t="s">
        <v>504</v>
      </c>
      <c r="K44" s="54">
        <f>tempconv(G12,J12,"℃")</f>
        <v>502.69</v>
      </c>
      <c r="L44" s="38" t="s">
        <v>505</v>
      </c>
      <c r="M44" s="54">
        <f>L40</f>
        <v>11.519999999999998</v>
      </c>
      <c r="N44" s="38" t="s">
        <v>504</v>
      </c>
      <c r="O44" s="54">
        <f>tempconv(G14,J14,"℃")</f>
        <v>10</v>
      </c>
      <c r="P44" s="55" t="s">
        <v>506</v>
      </c>
      <c r="Q44" s="5"/>
      <c r="R44" s="38" t="s">
        <v>451</v>
      </c>
      <c r="S44" s="126">
        <f>F44*(I44*K44-M44*O44)/10^6</f>
        <v>10.244901988750104</v>
      </c>
      <c r="T44" s="126"/>
      <c r="U44" s="56" t="s">
        <v>496</v>
      </c>
    </row>
    <row r="45" spans="1:21" ht="11.25" customHeight="1">
      <c r="A45" s="3">
        <v>43</v>
      </c>
      <c r="B45" s="175"/>
      <c r="C45" s="176"/>
      <c r="D45" s="8" t="s">
        <v>507</v>
      </c>
      <c r="E45" s="8" t="s">
        <v>451</v>
      </c>
      <c r="F45" s="128">
        <f>L21</f>
        <v>1056</v>
      </c>
      <c r="G45" s="128"/>
      <c r="H45" s="64" t="s">
        <v>503</v>
      </c>
      <c r="I45" s="65">
        <f>I44</f>
        <v>14.3526312</v>
      </c>
      <c r="J45" s="64" t="s">
        <v>504</v>
      </c>
      <c r="K45" s="65">
        <f>K44</f>
        <v>502.69</v>
      </c>
      <c r="L45" s="64" t="s">
        <v>505</v>
      </c>
      <c r="M45" s="65">
        <f>M44</f>
        <v>11.519999999999998</v>
      </c>
      <c r="N45" s="64" t="s">
        <v>504</v>
      </c>
      <c r="O45" s="65">
        <f>O44</f>
        <v>10</v>
      </c>
      <c r="P45" s="66" t="s">
        <v>506</v>
      </c>
      <c r="Q45" s="8"/>
      <c r="R45" s="64" t="s">
        <v>451</v>
      </c>
      <c r="S45" s="127">
        <f>F45*(I45*K45-M45*O45)/10^6</f>
        <v>7.497308731891969</v>
      </c>
      <c r="T45" s="127"/>
      <c r="U45" s="67" t="s">
        <v>496</v>
      </c>
    </row>
    <row r="46" spans="1:21" ht="11.25" customHeight="1">
      <c r="A46" s="3">
        <v>44</v>
      </c>
      <c r="B46" s="132" t="s">
        <v>501</v>
      </c>
      <c r="C46" s="123" t="str">
        <f>N22</f>
        <v>***</v>
      </c>
      <c r="D46" s="11" t="s">
        <v>502</v>
      </c>
      <c r="E46" s="11" t="s">
        <v>451</v>
      </c>
      <c r="F46" s="131" t="str">
        <f>O21</f>
        <v>***</v>
      </c>
      <c r="G46" s="131"/>
      <c r="H46" s="36" t="s">
        <v>503</v>
      </c>
      <c r="I46" s="57">
        <f>L38</f>
        <v>14.3526312</v>
      </c>
      <c r="J46" s="36" t="s">
        <v>504</v>
      </c>
      <c r="K46" s="57">
        <f>tempconv(G12,J12,"℃")</f>
        <v>502.69</v>
      </c>
      <c r="L46" s="36" t="s">
        <v>505</v>
      </c>
      <c r="M46" s="57">
        <f>L40</f>
        <v>11.519999999999998</v>
      </c>
      <c r="N46" s="36" t="s">
        <v>504</v>
      </c>
      <c r="O46" s="57">
        <f>tempconv(G14,J14,"℃")</f>
        <v>10</v>
      </c>
      <c r="P46" s="58" t="s">
        <v>506</v>
      </c>
      <c r="Q46" s="11"/>
      <c r="R46" s="36" t="s">
        <v>451</v>
      </c>
      <c r="S46" s="133" t="str">
        <f>IF(C46="***","***",F46*(I46*K46-M46*O46)/10^6)</f>
        <v>***</v>
      </c>
      <c r="T46" s="133"/>
      <c r="U46" s="59" t="s">
        <v>496</v>
      </c>
    </row>
    <row r="47" spans="1:21" ht="11.25" customHeight="1">
      <c r="A47" s="3">
        <v>45</v>
      </c>
      <c r="B47" s="118"/>
      <c r="C47" s="124"/>
      <c r="D47" s="17" t="s">
        <v>507</v>
      </c>
      <c r="E47" s="17" t="s">
        <v>451</v>
      </c>
      <c r="F47" s="125" t="str">
        <f>P21</f>
        <v>***</v>
      </c>
      <c r="G47" s="125"/>
      <c r="H47" s="60" t="s">
        <v>503</v>
      </c>
      <c r="I47" s="61">
        <f>I46</f>
        <v>14.3526312</v>
      </c>
      <c r="J47" s="60" t="s">
        <v>504</v>
      </c>
      <c r="K47" s="61">
        <f>K46</f>
        <v>502.69</v>
      </c>
      <c r="L47" s="60" t="s">
        <v>505</v>
      </c>
      <c r="M47" s="61">
        <f>M46</f>
        <v>11.519999999999998</v>
      </c>
      <c r="N47" s="60" t="s">
        <v>504</v>
      </c>
      <c r="O47" s="61">
        <f>O46</f>
        <v>10</v>
      </c>
      <c r="P47" s="62" t="s">
        <v>506</v>
      </c>
      <c r="Q47" s="17"/>
      <c r="R47" s="60" t="s">
        <v>451</v>
      </c>
      <c r="S47" s="122" t="str">
        <f>IF(C46="***","***",F47*(I47*K47-M47*O47)/10^6)</f>
        <v>***</v>
      </c>
      <c r="T47" s="122"/>
      <c r="U47" s="63" t="s">
        <v>496</v>
      </c>
    </row>
    <row r="48" spans="1:21" ht="11.25" customHeight="1">
      <c r="A48" s="3">
        <v>46</v>
      </c>
      <c r="B48" s="132" t="s">
        <v>501</v>
      </c>
      <c r="C48" s="123" t="str">
        <f>S22</f>
        <v>***</v>
      </c>
      <c r="D48" s="11" t="s">
        <v>502</v>
      </c>
      <c r="E48" s="11" t="s">
        <v>451</v>
      </c>
      <c r="F48" s="131" t="str">
        <f>S21</f>
        <v>***</v>
      </c>
      <c r="G48" s="131"/>
      <c r="H48" s="36" t="s">
        <v>503</v>
      </c>
      <c r="I48" s="57">
        <f>L38</f>
        <v>14.3526312</v>
      </c>
      <c r="J48" s="36" t="s">
        <v>504</v>
      </c>
      <c r="K48" s="57">
        <f>tempconv(G12,J12,"℃")</f>
        <v>502.69</v>
      </c>
      <c r="L48" s="36" t="s">
        <v>505</v>
      </c>
      <c r="M48" s="57">
        <f>L40</f>
        <v>11.519999999999998</v>
      </c>
      <c r="N48" s="36" t="s">
        <v>504</v>
      </c>
      <c r="O48" s="57">
        <f>tempconv(G14,J14,"℃")</f>
        <v>10</v>
      </c>
      <c r="P48" s="58" t="s">
        <v>506</v>
      </c>
      <c r="Q48" s="11"/>
      <c r="R48" s="36" t="s">
        <v>451</v>
      </c>
      <c r="S48" s="133" t="str">
        <f>IF(C48="***","***",F48*(I48*K48-M48*O48)/10^6)</f>
        <v>***</v>
      </c>
      <c r="T48" s="133"/>
      <c r="U48" s="59" t="s">
        <v>496</v>
      </c>
    </row>
    <row r="49" spans="1:21" ht="11.25" customHeight="1">
      <c r="A49" s="3">
        <v>47</v>
      </c>
      <c r="B49" s="118"/>
      <c r="C49" s="124"/>
      <c r="D49" s="17" t="s">
        <v>507</v>
      </c>
      <c r="E49" s="17" t="s">
        <v>451</v>
      </c>
      <c r="F49" s="125" t="str">
        <f>T21</f>
        <v>***</v>
      </c>
      <c r="G49" s="125"/>
      <c r="H49" s="60" t="s">
        <v>503</v>
      </c>
      <c r="I49" s="61">
        <f>I48</f>
        <v>14.3526312</v>
      </c>
      <c r="J49" s="60" t="s">
        <v>504</v>
      </c>
      <c r="K49" s="61">
        <f>K48</f>
        <v>502.69</v>
      </c>
      <c r="L49" s="60" t="s">
        <v>505</v>
      </c>
      <c r="M49" s="61">
        <f>M48</f>
        <v>11.519999999999998</v>
      </c>
      <c r="N49" s="60" t="s">
        <v>504</v>
      </c>
      <c r="O49" s="61">
        <f>O48</f>
        <v>10</v>
      </c>
      <c r="P49" s="62" t="s">
        <v>506</v>
      </c>
      <c r="Q49" s="17"/>
      <c r="R49" s="60" t="s">
        <v>451</v>
      </c>
      <c r="S49" s="122" t="str">
        <f>IF(C48="***","***",F49*(I49*K49-M49*O49)/10^6)</f>
        <v>***</v>
      </c>
      <c r="T49" s="122"/>
      <c r="U49" s="63" t="s">
        <v>496</v>
      </c>
    </row>
    <row r="50" spans="1:21" ht="11.25" customHeight="1">
      <c r="A50" s="3">
        <v>48</v>
      </c>
      <c r="B50" s="132" t="s">
        <v>501</v>
      </c>
      <c r="C50" s="123" t="str">
        <f>R31</f>
        <v>***</v>
      </c>
      <c r="D50" s="11" t="s">
        <v>502</v>
      </c>
      <c r="E50" s="11" t="s">
        <v>451</v>
      </c>
      <c r="F50" s="131" t="str">
        <f>R32</f>
        <v>***</v>
      </c>
      <c r="G50" s="131"/>
      <c r="H50" s="36" t="s">
        <v>503</v>
      </c>
      <c r="I50" s="57">
        <f>L38</f>
        <v>14.3526312</v>
      </c>
      <c r="J50" s="36" t="s">
        <v>504</v>
      </c>
      <c r="K50" s="57">
        <f>tempconv(G12,J12,"℃")</f>
        <v>502.69</v>
      </c>
      <c r="L50" s="36" t="s">
        <v>505</v>
      </c>
      <c r="M50" s="57">
        <f>L40</f>
        <v>11.519999999999998</v>
      </c>
      <c r="N50" s="36" t="s">
        <v>504</v>
      </c>
      <c r="O50" s="57">
        <f>tempconv(G14,J14,"℃")</f>
        <v>10</v>
      </c>
      <c r="P50" s="58" t="s">
        <v>506</v>
      </c>
      <c r="Q50" s="11"/>
      <c r="R50" s="36" t="s">
        <v>451</v>
      </c>
      <c r="S50" s="133" t="str">
        <f>IF(C50="***","***",F50*(I50*K50-M50*O50)/10^6)</f>
        <v>***</v>
      </c>
      <c r="T50" s="133"/>
      <c r="U50" s="59" t="s">
        <v>496</v>
      </c>
    </row>
    <row r="51" spans="1:21" ht="11.25" customHeight="1">
      <c r="A51" s="3">
        <v>49</v>
      </c>
      <c r="B51" s="118"/>
      <c r="C51" s="124"/>
      <c r="D51" s="17" t="s">
        <v>507</v>
      </c>
      <c r="E51" s="17" t="s">
        <v>451</v>
      </c>
      <c r="F51" s="125" t="str">
        <f>S32</f>
        <v>***</v>
      </c>
      <c r="G51" s="125"/>
      <c r="H51" s="60" t="s">
        <v>503</v>
      </c>
      <c r="I51" s="61">
        <f>I50</f>
        <v>14.3526312</v>
      </c>
      <c r="J51" s="60" t="s">
        <v>504</v>
      </c>
      <c r="K51" s="61">
        <f>K50</f>
        <v>502.69</v>
      </c>
      <c r="L51" s="60" t="s">
        <v>505</v>
      </c>
      <c r="M51" s="61">
        <f>M50</f>
        <v>11.519999999999998</v>
      </c>
      <c r="N51" s="60" t="s">
        <v>504</v>
      </c>
      <c r="O51" s="61">
        <f>O50</f>
        <v>10</v>
      </c>
      <c r="P51" s="62" t="s">
        <v>506</v>
      </c>
      <c r="Q51" s="17"/>
      <c r="R51" s="60" t="s">
        <v>451</v>
      </c>
      <c r="S51" s="122" t="str">
        <f>IF(C50="***","***",F51*(I51*K51-M51*O51)/10^6)</f>
        <v>***</v>
      </c>
      <c r="T51" s="122"/>
      <c r="U51" s="63" t="s">
        <v>496</v>
      </c>
    </row>
    <row r="52" spans="1:21" ht="11.25" customHeight="1">
      <c r="A52" s="3">
        <v>50</v>
      </c>
      <c r="B52" s="132" t="s">
        <v>501</v>
      </c>
      <c r="C52" s="123" t="str">
        <f>H31</f>
        <v>E</v>
      </c>
      <c r="D52" s="11" t="s">
        <v>502</v>
      </c>
      <c r="E52" s="11" t="s">
        <v>451</v>
      </c>
      <c r="F52" s="131">
        <f>H32</f>
        <v>450</v>
      </c>
      <c r="G52" s="131"/>
      <c r="H52" s="36" t="s">
        <v>503</v>
      </c>
      <c r="I52" s="57">
        <f>L38</f>
        <v>14.3526312</v>
      </c>
      <c r="J52" s="36" t="s">
        <v>504</v>
      </c>
      <c r="K52" s="57">
        <f>tempconv(G12,J12,"℃")</f>
        <v>502.69</v>
      </c>
      <c r="L52" s="36" t="s">
        <v>505</v>
      </c>
      <c r="M52" s="57">
        <f>L40</f>
        <v>11.519999999999998</v>
      </c>
      <c r="N52" s="36" t="s">
        <v>504</v>
      </c>
      <c r="O52" s="57">
        <f>tempconv(G14,J14,"℃")</f>
        <v>10</v>
      </c>
      <c r="P52" s="58" t="s">
        <v>506</v>
      </c>
      <c r="Q52" s="11"/>
      <c r="R52" s="36" t="s">
        <v>451</v>
      </c>
      <c r="S52" s="133">
        <f>F52*(I52*K52-M52*O52)/10^6</f>
        <v>3.1948758800676</v>
      </c>
      <c r="T52" s="133"/>
      <c r="U52" s="59" t="s">
        <v>496</v>
      </c>
    </row>
    <row r="53" spans="1:21" ht="11.25" customHeight="1">
      <c r="A53" s="3">
        <v>51</v>
      </c>
      <c r="B53" s="118"/>
      <c r="C53" s="124"/>
      <c r="D53" s="17" t="s">
        <v>507</v>
      </c>
      <c r="E53" s="17" t="s">
        <v>451</v>
      </c>
      <c r="F53" s="125">
        <f>I32</f>
        <v>-150</v>
      </c>
      <c r="G53" s="125"/>
      <c r="H53" s="60" t="s">
        <v>503</v>
      </c>
      <c r="I53" s="61">
        <f>I52</f>
        <v>14.3526312</v>
      </c>
      <c r="J53" s="60" t="s">
        <v>504</v>
      </c>
      <c r="K53" s="61">
        <f>K52</f>
        <v>502.69</v>
      </c>
      <c r="L53" s="60" t="s">
        <v>505</v>
      </c>
      <c r="M53" s="61">
        <f>M52</f>
        <v>11.519999999999998</v>
      </c>
      <c r="N53" s="60" t="s">
        <v>504</v>
      </c>
      <c r="O53" s="61">
        <f>O52</f>
        <v>10</v>
      </c>
      <c r="P53" s="62" t="s">
        <v>506</v>
      </c>
      <c r="Q53" s="17"/>
      <c r="R53" s="60" t="s">
        <v>451</v>
      </c>
      <c r="S53" s="122">
        <f>F53*(I53*K53-M53*O53)/10^6</f>
        <v>-1.0649586266892002</v>
      </c>
      <c r="T53" s="122"/>
      <c r="U53" s="63" t="s">
        <v>496</v>
      </c>
    </row>
    <row r="54" spans="1:21" ht="11.25" customHeight="1">
      <c r="A54" s="3">
        <v>52</v>
      </c>
      <c r="B54" s="33"/>
      <c r="C54" s="69"/>
      <c r="D54" s="11" t="s">
        <v>508</v>
      </c>
      <c r="E54" s="11" t="s">
        <v>451</v>
      </c>
      <c r="F54" s="131">
        <f>F58</f>
        <v>-129</v>
      </c>
      <c r="G54" s="131"/>
      <c r="H54" s="36" t="s">
        <v>503</v>
      </c>
      <c r="I54" s="57">
        <f>IF(G26&gt;=0,L38,Q38)</f>
        <v>14.3526312</v>
      </c>
      <c r="J54" s="36" t="s">
        <v>504</v>
      </c>
      <c r="K54" s="57">
        <f>IF(G26&gt;=0,tempconv(G12,J12,"℃"),tempconv(Q11,T11,"℃"))</f>
        <v>502.69</v>
      </c>
      <c r="L54" s="36" t="s">
        <v>505</v>
      </c>
      <c r="M54" s="57">
        <f>M58</f>
        <v>11.519999999999998</v>
      </c>
      <c r="N54" s="36" t="s">
        <v>504</v>
      </c>
      <c r="O54" s="57">
        <f>O58</f>
        <v>10</v>
      </c>
      <c r="P54" s="58" t="s">
        <v>506</v>
      </c>
      <c r="Q54" s="11"/>
      <c r="R54" s="36" t="s">
        <v>451</v>
      </c>
      <c r="S54" s="135">
        <f>F54*(I54*K54-M54*O54)/10^6</f>
        <v>-0.915864418952712</v>
      </c>
      <c r="T54" s="135"/>
      <c r="U54" s="59" t="s">
        <v>496</v>
      </c>
    </row>
    <row r="55" spans="1:21" ht="11.25" customHeight="1">
      <c r="A55" s="3">
        <v>53</v>
      </c>
      <c r="B55" s="41" t="s">
        <v>501</v>
      </c>
      <c r="C55" s="45" t="str">
        <f>E31</f>
        <v>A</v>
      </c>
      <c r="D55" s="7" t="s">
        <v>509</v>
      </c>
      <c r="E55" s="7" t="s">
        <v>451</v>
      </c>
      <c r="F55" s="120">
        <f>F59</f>
        <v>-434.99999999999994</v>
      </c>
      <c r="G55" s="120"/>
      <c r="H55" s="32" t="s">
        <v>503</v>
      </c>
      <c r="I55" s="48">
        <f>Q38</f>
        <v>13.139999999999999</v>
      </c>
      <c r="J55" s="32" t="s">
        <v>504</v>
      </c>
      <c r="K55" s="48">
        <f>tempconv(Q11,T11,"℃")</f>
        <v>281.5</v>
      </c>
      <c r="L55" s="32" t="s">
        <v>505</v>
      </c>
      <c r="M55" s="48">
        <f>M59</f>
        <v>11.519999999999998</v>
      </c>
      <c r="N55" s="32" t="s">
        <v>504</v>
      </c>
      <c r="O55" s="48">
        <f>O59</f>
        <v>10</v>
      </c>
      <c r="P55" s="50" t="s">
        <v>506</v>
      </c>
      <c r="Q55" s="7"/>
      <c r="R55" s="32" t="s">
        <v>451</v>
      </c>
      <c r="S55" s="121">
        <f>F55*(I55*K55-M55*O55)/10^6</f>
        <v>-1.55891385</v>
      </c>
      <c r="T55" s="121"/>
      <c r="U55" s="49" t="s">
        <v>496</v>
      </c>
    </row>
    <row r="56" spans="1:21" ht="11.25" customHeight="1">
      <c r="A56" s="3">
        <v>54</v>
      </c>
      <c r="B56" s="41"/>
      <c r="C56" s="19"/>
      <c r="D56" s="8" t="s">
        <v>502</v>
      </c>
      <c r="E56" s="8" t="s">
        <v>451</v>
      </c>
      <c r="F56" s="64" t="s">
        <v>508</v>
      </c>
      <c r="G56" s="64" t="s">
        <v>510</v>
      </c>
      <c r="H56" s="64" t="s">
        <v>509</v>
      </c>
      <c r="I56" s="8"/>
      <c r="J56" s="8"/>
      <c r="K56" s="8"/>
      <c r="L56" s="8"/>
      <c r="M56" s="8"/>
      <c r="N56" s="8"/>
      <c r="O56" s="8"/>
      <c r="P56" s="8"/>
      <c r="Q56" s="8"/>
      <c r="R56" s="64" t="s">
        <v>451</v>
      </c>
      <c r="S56" s="127">
        <f>S54+S55</f>
        <v>-2.474778268952712</v>
      </c>
      <c r="T56" s="127"/>
      <c r="U56" s="67" t="s">
        <v>496</v>
      </c>
    </row>
    <row r="57" spans="1:21" ht="11.25" customHeight="1">
      <c r="A57" s="3">
        <v>55</v>
      </c>
      <c r="B57" s="43"/>
      <c r="C57" s="23"/>
      <c r="D57" s="70" t="s">
        <v>507</v>
      </c>
      <c r="E57" s="70" t="s">
        <v>451</v>
      </c>
      <c r="F57" s="136">
        <f>F32</f>
        <v>-300.44210129246164</v>
      </c>
      <c r="G57" s="136"/>
      <c r="H57" s="71" t="s">
        <v>503</v>
      </c>
      <c r="I57" s="72">
        <f>I55</f>
        <v>13.139999999999999</v>
      </c>
      <c r="J57" s="71" t="s">
        <v>504</v>
      </c>
      <c r="K57" s="72">
        <f>K55</f>
        <v>281.5</v>
      </c>
      <c r="L57" s="71" t="s">
        <v>505</v>
      </c>
      <c r="M57" s="72">
        <f>M55</f>
        <v>11.519999999999998</v>
      </c>
      <c r="N57" s="71" t="s">
        <v>504</v>
      </c>
      <c r="O57" s="72">
        <f>O55</f>
        <v>10</v>
      </c>
      <c r="P57" s="73" t="s">
        <v>506</v>
      </c>
      <c r="Q57" s="70"/>
      <c r="R57" s="71" t="s">
        <v>451</v>
      </c>
      <c r="S57" s="117">
        <f>F57*(I57*K57-M57*O57)/10^6</f>
        <v>-1.0766973628228076</v>
      </c>
      <c r="T57" s="117"/>
      <c r="U57" s="74" t="s">
        <v>496</v>
      </c>
    </row>
    <row r="58" spans="1:21" ht="11.25" customHeight="1">
      <c r="A58" s="3">
        <v>56</v>
      </c>
      <c r="B58" s="33"/>
      <c r="C58" s="69"/>
      <c r="D58" s="5" t="s">
        <v>508</v>
      </c>
      <c r="E58" s="5" t="s">
        <v>451</v>
      </c>
      <c r="F58" s="119">
        <f>-G26</f>
        <v>-129</v>
      </c>
      <c r="G58" s="119"/>
      <c r="H58" s="38" t="s">
        <v>503</v>
      </c>
      <c r="I58" s="54">
        <f>IF(G26&gt;=0,L38,Q39)</f>
        <v>14.3526312</v>
      </c>
      <c r="J58" s="38" t="s">
        <v>504</v>
      </c>
      <c r="K58" s="54">
        <f>IF(G26&gt;=0,tempconv(G12,J12,"℃"),tempconv(Q12,T12,"℃"))</f>
        <v>502.69</v>
      </c>
      <c r="L58" s="38" t="s">
        <v>505</v>
      </c>
      <c r="M58" s="54">
        <f>IF(G26&gt;=0,L40,Q40)</f>
        <v>11.519999999999998</v>
      </c>
      <c r="N58" s="38" t="s">
        <v>504</v>
      </c>
      <c r="O58" s="54">
        <f>tempconv(G14,J14,"℃")</f>
        <v>10</v>
      </c>
      <c r="P58" s="55" t="s">
        <v>506</v>
      </c>
      <c r="Q58" s="5"/>
      <c r="R58" s="38" t="s">
        <v>451</v>
      </c>
      <c r="S58" s="134">
        <f>F58*(I58*K58-M58*O58)/10^6</f>
        <v>-0.915864418952712</v>
      </c>
      <c r="T58" s="134"/>
      <c r="U58" s="56" t="s">
        <v>496</v>
      </c>
    </row>
    <row r="59" spans="1:21" ht="11.25" customHeight="1">
      <c r="A59" s="3">
        <v>57</v>
      </c>
      <c r="B59" s="41"/>
      <c r="C59" s="19"/>
      <c r="D59" s="7" t="s">
        <v>509</v>
      </c>
      <c r="E59" s="7" t="s">
        <v>451</v>
      </c>
      <c r="F59" s="120">
        <f>-F26</f>
        <v>-434.99999999999994</v>
      </c>
      <c r="G59" s="120"/>
      <c r="H59" s="32" t="s">
        <v>503</v>
      </c>
      <c r="I59" s="48">
        <f>Q39</f>
        <v>13.139999999999999</v>
      </c>
      <c r="J59" s="32" t="s">
        <v>504</v>
      </c>
      <c r="K59" s="48">
        <f>tempconv(Q12,T12,"℃")</f>
        <v>286.45</v>
      </c>
      <c r="L59" s="32" t="s">
        <v>505</v>
      </c>
      <c r="M59" s="48">
        <f>Q40</f>
        <v>11.519999999999998</v>
      </c>
      <c r="N59" s="32" t="s">
        <v>504</v>
      </c>
      <c r="O59" s="48">
        <f>tempconv(G14,J14,"℃")</f>
        <v>10</v>
      </c>
      <c r="P59" s="50" t="s">
        <v>506</v>
      </c>
      <c r="Q59" s="7"/>
      <c r="R59" s="32" t="s">
        <v>451</v>
      </c>
      <c r="S59" s="121">
        <f>F59*(I59*K59-M59*O59)/10^6</f>
        <v>-1.5872075549999998</v>
      </c>
      <c r="T59" s="121"/>
      <c r="U59" s="49" t="s">
        <v>496</v>
      </c>
    </row>
    <row r="60" spans="1:21" ht="11.25" customHeight="1">
      <c r="A60" s="3">
        <v>58</v>
      </c>
      <c r="B60" s="41" t="s">
        <v>501</v>
      </c>
      <c r="C60" s="45" t="str">
        <f>E22</f>
        <v>B</v>
      </c>
      <c r="D60" s="8" t="s">
        <v>502</v>
      </c>
      <c r="E60" s="8" t="s">
        <v>451</v>
      </c>
      <c r="F60" s="64" t="s">
        <v>508</v>
      </c>
      <c r="G60" s="64" t="s">
        <v>510</v>
      </c>
      <c r="H60" s="64" t="s">
        <v>509</v>
      </c>
      <c r="I60" s="8"/>
      <c r="J60" s="8"/>
      <c r="K60" s="8"/>
      <c r="L60" s="8"/>
      <c r="M60" s="8"/>
      <c r="N60" s="8"/>
      <c r="O60" s="8"/>
      <c r="P60" s="8"/>
      <c r="Q60" s="8"/>
      <c r="R60" s="64" t="s">
        <v>451</v>
      </c>
      <c r="S60" s="127">
        <f>S58+S59</f>
        <v>-2.5030719739527116</v>
      </c>
      <c r="T60" s="127"/>
      <c r="U60" s="67" t="s">
        <v>496</v>
      </c>
    </row>
    <row r="61" spans="1:21" ht="11.25" customHeight="1">
      <c r="A61" s="3">
        <v>59</v>
      </c>
      <c r="B61" s="41"/>
      <c r="C61" s="19"/>
      <c r="D61" s="11" t="s">
        <v>528</v>
      </c>
      <c r="E61" s="11" t="s">
        <v>451</v>
      </c>
      <c r="F61" s="131">
        <f>B26/2+F32</f>
        <v>453</v>
      </c>
      <c r="G61" s="131"/>
      <c r="H61" s="36" t="s">
        <v>503</v>
      </c>
      <c r="I61" s="57">
        <f>I57</f>
        <v>13.139999999999999</v>
      </c>
      <c r="J61" s="36" t="s">
        <v>504</v>
      </c>
      <c r="K61" s="57">
        <f>K57</f>
        <v>281.5</v>
      </c>
      <c r="L61" s="36" t="s">
        <v>505</v>
      </c>
      <c r="M61" s="57">
        <f>M58</f>
        <v>11.519999999999998</v>
      </c>
      <c r="N61" s="36" t="s">
        <v>504</v>
      </c>
      <c r="O61" s="57">
        <f>O58</f>
        <v>10</v>
      </c>
      <c r="P61" s="58" t="s">
        <v>506</v>
      </c>
      <c r="Q61" s="11"/>
      <c r="R61" s="36" t="s">
        <v>451</v>
      </c>
      <c r="S61" s="135">
        <f>F61*(I61*K61-M61*O61)/10^6</f>
        <v>1.62342063</v>
      </c>
      <c r="T61" s="135"/>
      <c r="U61" s="59" t="s">
        <v>496</v>
      </c>
    </row>
    <row r="62" spans="1:21" ht="11.25" customHeight="1">
      <c r="A62" s="16">
        <v>60</v>
      </c>
      <c r="B62" s="41"/>
      <c r="C62" s="19"/>
      <c r="D62" s="7" t="s">
        <v>529</v>
      </c>
      <c r="E62" s="7" t="s">
        <v>451</v>
      </c>
      <c r="F62" s="120">
        <f>B26/2</f>
        <v>753.4421012924616</v>
      </c>
      <c r="G62" s="120"/>
      <c r="H62" s="32" t="s">
        <v>503</v>
      </c>
      <c r="I62" s="48">
        <f>I59</f>
        <v>13.139999999999999</v>
      </c>
      <c r="J62" s="32" t="s">
        <v>504</v>
      </c>
      <c r="K62" s="48">
        <f>K59</f>
        <v>286.45</v>
      </c>
      <c r="L62" s="32" t="s">
        <v>505</v>
      </c>
      <c r="M62" s="48">
        <f>M59</f>
        <v>11.519999999999998</v>
      </c>
      <c r="N62" s="32" t="s">
        <v>504</v>
      </c>
      <c r="O62" s="48">
        <f>O59</f>
        <v>10</v>
      </c>
      <c r="P62" s="50" t="s">
        <v>506</v>
      </c>
      <c r="Q62" s="7"/>
      <c r="R62" s="32" t="s">
        <v>451</v>
      </c>
      <c r="S62" s="121">
        <f>F62*(I62*K62-M62*O62)/10^6</f>
        <v>2.7491241274171734</v>
      </c>
      <c r="T62" s="121"/>
      <c r="U62" s="49" t="s">
        <v>496</v>
      </c>
    </row>
    <row r="63" spans="1:21" ht="11.25" customHeight="1">
      <c r="A63" s="3">
        <v>61</v>
      </c>
      <c r="B63" s="43"/>
      <c r="C63" s="23"/>
      <c r="D63" s="17" t="s">
        <v>507</v>
      </c>
      <c r="E63" s="17" t="s">
        <v>451</v>
      </c>
      <c r="F63" s="60" t="str">
        <f>D61</f>
        <v>Δzci</v>
      </c>
      <c r="G63" s="60" t="s">
        <v>510</v>
      </c>
      <c r="H63" s="60" t="str">
        <f>D62</f>
        <v>Δzco</v>
      </c>
      <c r="I63" s="17"/>
      <c r="J63" s="17"/>
      <c r="K63" s="17"/>
      <c r="L63" s="17"/>
      <c r="M63" s="17"/>
      <c r="N63" s="17"/>
      <c r="O63" s="17"/>
      <c r="P63" s="17"/>
      <c r="Q63" s="17"/>
      <c r="R63" s="60" t="s">
        <v>451</v>
      </c>
      <c r="S63" s="122">
        <f>S61+S62</f>
        <v>4.372544757417174</v>
      </c>
      <c r="T63" s="122"/>
      <c r="U63" s="63" t="s">
        <v>496</v>
      </c>
    </row>
    <row r="64" spans="1:21" ht="11.25" customHeight="1">
      <c r="A64" s="3">
        <v>62</v>
      </c>
      <c r="B64" s="14" t="s">
        <v>511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5"/>
    </row>
    <row r="65" spans="1:21" ht="11.25" customHeight="1">
      <c r="A65" s="3">
        <v>63</v>
      </c>
      <c r="B65" s="104" t="s">
        <v>512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</row>
    <row r="66" spans="1:21" ht="11.25" customHeight="1">
      <c r="A66" s="3">
        <v>64</v>
      </c>
      <c r="B66" s="104" t="s">
        <v>513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</row>
    <row r="67" spans="1:21" ht="11.25" customHeight="1">
      <c r="A67" s="3">
        <v>65</v>
      </c>
      <c r="B67" s="105" t="s">
        <v>514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</row>
    <row r="68" spans="1:21" ht="11.25" customHeight="1">
      <c r="A68" s="3"/>
      <c r="B68" s="22" t="s">
        <v>536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09" t="s">
        <v>537</v>
      </c>
    </row>
    <row r="69" ht="11.25" customHeight="1">
      <c r="A69" s="3"/>
    </row>
    <row r="70" ht="11.25" customHeight="1">
      <c r="A70" s="3"/>
    </row>
  </sheetData>
  <mergeCells count="93">
    <mergeCell ref="B46:B47"/>
    <mergeCell ref="C46:C47"/>
    <mergeCell ref="F46:G46"/>
    <mergeCell ref="F47:G47"/>
    <mergeCell ref="J24:K24"/>
    <mergeCell ref="K22:L22"/>
    <mergeCell ref="M24:N24"/>
    <mergeCell ref="N22:O22"/>
    <mergeCell ref="B52:B53"/>
    <mergeCell ref="C44:C45"/>
    <mergeCell ref="B38:G39"/>
    <mergeCell ref="F52:G52"/>
    <mergeCell ref="F50:G50"/>
    <mergeCell ref="B44:B45"/>
    <mergeCell ref="F44:G44"/>
    <mergeCell ref="B50:B51"/>
    <mergeCell ref="F51:G51"/>
    <mergeCell ref="B48:B49"/>
    <mergeCell ref="F61:G61"/>
    <mergeCell ref="S61:T61"/>
    <mergeCell ref="F62:G62"/>
    <mergeCell ref="S62:T62"/>
    <mergeCell ref="C50:C51"/>
    <mergeCell ref="C52:C53"/>
    <mergeCell ref="S51:T51"/>
    <mergeCell ref="S63:T63"/>
    <mergeCell ref="F54:G54"/>
    <mergeCell ref="S54:T54"/>
    <mergeCell ref="F55:G55"/>
    <mergeCell ref="S55:T55"/>
    <mergeCell ref="S60:T60"/>
    <mergeCell ref="S56:T56"/>
    <mergeCell ref="S44:T44"/>
    <mergeCell ref="S45:T45"/>
    <mergeCell ref="F45:G45"/>
    <mergeCell ref="S52:T52"/>
    <mergeCell ref="S50:T50"/>
    <mergeCell ref="S46:T46"/>
    <mergeCell ref="S47:T47"/>
    <mergeCell ref="F59:G59"/>
    <mergeCell ref="S59:T59"/>
    <mergeCell ref="F53:G53"/>
    <mergeCell ref="S53:T53"/>
    <mergeCell ref="F58:G58"/>
    <mergeCell ref="S58:T58"/>
    <mergeCell ref="F57:G57"/>
    <mergeCell ref="S57:T57"/>
    <mergeCell ref="L40:M40"/>
    <mergeCell ref="B36:U36"/>
    <mergeCell ref="P25:P28"/>
    <mergeCell ref="L38:M38"/>
    <mergeCell ref="H28:I28"/>
    <mergeCell ref="I37:M37"/>
    <mergeCell ref="R31:S31"/>
    <mergeCell ref="N37:R37"/>
    <mergeCell ref="B26:C26"/>
    <mergeCell ref="N31:O31"/>
    <mergeCell ref="B19:U19"/>
    <mergeCell ref="Q38:R38"/>
    <mergeCell ref="Q39:R39"/>
    <mergeCell ref="Q40:R40"/>
    <mergeCell ref="E22:F22"/>
    <mergeCell ref="Q25:Q28"/>
    <mergeCell ref="S22:T22"/>
    <mergeCell ref="J28:L28"/>
    <mergeCell ref="E31:F31"/>
    <mergeCell ref="G26:I26"/>
    <mergeCell ref="X11:AA11"/>
    <mergeCell ref="AB11:AE11"/>
    <mergeCell ref="B9:K9"/>
    <mergeCell ref="L9:U9"/>
    <mergeCell ref="X9:AA9"/>
    <mergeCell ref="AB9:AE9"/>
    <mergeCell ref="X10:AA10"/>
    <mergeCell ref="AB10:AE10"/>
    <mergeCell ref="G10:I10"/>
    <mergeCell ref="Q10:S10"/>
    <mergeCell ref="R7:U7"/>
    <mergeCell ref="B8:U8"/>
    <mergeCell ref="B15:U15"/>
    <mergeCell ref="G12:I12"/>
    <mergeCell ref="Q11:S11"/>
    <mergeCell ref="Q12:S12"/>
    <mergeCell ref="G14:I14"/>
    <mergeCell ref="B1:U2"/>
    <mergeCell ref="R3:U3"/>
    <mergeCell ref="R4:U4"/>
    <mergeCell ref="R5:U5"/>
    <mergeCell ref="C48:C49"/>
    <mergeCell ref="F48:G48"/>
    <mergeCell ref="S48:T48"/>
    <mergeCell ref="F49:G49"/>
    <mergeCell ref="S49:T49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U65"/>
  <sheetViews>
    <sheetView zoomScaleSheetLayoutView="100" workbookViewId="0" topLeftCell="A1">
      <selection activeCell="N8" sqref="N8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188" t="s">
        <v>16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2:21" ht="11.2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11.25" customHeight="1">
      <c r="A3" s="3">
        <v>1</v>
      </c>
      <c r="B3" s="4" t="s">
        <v>4</v>
      </c>
      <c r="C3" s="5"/>
      <c r="D3" s="5"/>
      <c r="E3" s="27" t="e">
        <f>project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5</v>
      </c>
      <c r="Q3" s="11"/>
      <c r="R3" s="189" t="e">
        <f>jobno</f>
        <v>#NAME?</v>
      </c>
      <c r="S3" s="189"/>
      <c r="T3" s="189"/>
      <c r="U3" s="190"/>
    </row>
    <row r="4" spans="1:21" ht="11.25" customHeight="1">
      <c r="A4" s="3">
        <v>2</v>
      </c>
      <c r="B4" s="6" t="s">
        <v>6</v>
      </c>
      <c r="C4" s="7"/>
      <c r="D4" s="7"/>
      <c r="E4" s="28" t="e">
        <f>client</f>
        <v>#NAME?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7</v>
      </c>
      <c r="Q4" s="7"/>
      <c r="R4" s="153" t="s">
        <v>17</v>
      </c>
      <c r="S4" s="153"/>
      <c r="T4" s="153"/>
      <c r="U4" s="154"/>
    </row>
    <row r="5" spans="1:21" ht="11.25" customHeight="1">
      <c r="A5" s="3">
        <v>3</v>
      </c>
      <c r="B5" s="6" t="s">
        <v>8</v>
      </c>
      <c r="C5" s="7"/>
      <c r="D5" s="7"/>
      <c r="E5" s="28" t="e">
        <f>contractor</f>
        <v>#NAME?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9</v>
      </c>
      <c r="Q5" s="7"/>
      <c r="R5" s="164" t="s">
        <v>10</v>
      </c>
      <c r="S5" s="164"/>
      <c r="T5" s="164"/>
      <c r="U5" s="173"/>
    </row>
    <row r="6" spans="1:21" ht="11.25" customHeight="1">
      <c r="A6" s="3">
        <v>4</v>
      </c>
      <c r="B6" s="9" t="s">
        <v>11</v>
      </c>
      <c r="C6" s="8"/>
      <c r="D6" s="8"/>
      <c r="E6" s="29" t="e">
        <f>code</f>
        <v>#NAME?</v>
      </c>
      <c r="F6" s="8"/>
      <c r="G6" s="8"/>
      <c r="H6" s="8"/>
      <c r="I6" s="8"/>
      <c r="J6" s="8"/>
      <c r="K6" s="8"/>
      <c r="L6" s="8"/>
      <c r="M6" s="8"/>
      <c r="N6" s="8"/>
      <c r="O6" s="8"/>
      <c r="P6" s="23" t="s">
        <v>12</v>
      </c>
      <c r="Q6" s="23"/>
      <c r="R6" s="24">
        <v>0</v>
      </c>
      <c r="S6" s="25"/>
      <c r="T6" s="25"/>
      <c r="U6" s="26"/>
    </row>
    <row r="7" spans="1:21" ht="11.25" customHeight="1">
      <c r="A7" s="3">
        <v>5</v>
      </c>
      <c r="B7" s="10" t="s">
        <v>13</v>
      </c>
      <c r="C7" s="11"/>
      <c r="D7" s="11"/>
      <c r="E7" s="30" t="e">
        <f>service</f>
        <v>#NAME?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14</v>
      </c>
      <c r="Q7" s="11"/>
      <c r="R7" s="191" t="e">
        <f>itemno</f>
        <v>#NAME?</v>
      </c>
      <c r="S7" s="191"/>
      <c r="T7" s="191"/>
      <c r="U7" s="192"/>
    </row>
    <row r="8" spans="1:21" ht="11.25" customHeight="1">
      <c r="A8" s="3">
        <v>6</v>
      </c>
      <c r="B8" s="6" t="s">
        <v>15</v>
      </c>
      <c r="C8" s="7"/>
      <c r="D8" s="7"/>
      <c r="E8" s="28" t="e">
        <f>type</f>
        <v>#NAME?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145" t="s">
        <v>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7"/>
    </row>
    <row r="11" spans="1:21" ht="11.25" customHeight="1">
      <c r="A11" s="3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1.25" customHeight="1">
      <c r="A12" s="3">
        <v>10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spans="1:21" ht="11.25" customHeight="1">
      <c r="A23" s="3">
        <v>21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</row>
    <row r="24" spans="1:21" ht="11.25" customHeight="1">
      <c r="A24" s="3">
        <v>22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</row>
    <row r="25" spans="1:21" ht="11.25" customHeight="1">
      <c r="A25" s="3">
        <v>23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11.25" customHeight="1">
      <c r="A26" s="3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145" t="s">
        <v>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7"/>
    </row>
    <row r="28" spans="1:21" ht="11.25" customHeight="1">
      <c r="A28" s="3">
        <v>26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"/>
    </row>
    <row r="29" spans="1:21" ht="11.25" customHeight="1">
      <c r="A29" s="3">
        <v>27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</row>
    <row r="30" spans="1:21" ht="11.25" customHeight="1">
      <c r="A30" s="3">
        <v>28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ht="11.25" customHeight="1">
      <c r="A32" s="3">
        <v>30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</row>
    <row r="35" spans="1:2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1.25" customHeight="1">
      <c r="A38" s="3">
        <v>36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145" t="s">
        <v>3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7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108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104" t="s">
        <v>109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104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104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104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105" t="s">
        <v>111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19" t="e">
        <f>cosymbol</f>
        <v>#NAME?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31" t="e">
        <f>coname</f>
        <v>#NAME?</v>
      </c>
    </row>
    <row r="64" ht="11.25" customHeight="1">
      <c r="A64" s="3"/>
    </row>
    <row r="65" ht="11.25" customHeight="1">
      <c r="A65" s="3"/>
    </row>
  </sheetData>
  <mergeCells count="8">
    <mergeCell ref="R7:U7"/>
    <mergeCell ref="B10:U10"/>
    <mergeCell ref="B27:U27"/>
    <mergeCell ref="B42:U42"/>
    <mergeCell ref="B1:U2"/>
    <mergeCell ref="R3:U3"/>
    <mergeCell ref="R4:U4"/>
    <mergeCell ref="R5:U5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2013-05-15T14:50:01Z</cp:lastPrinted>
  <dcterms:created xsi:type="dcterms:W3CDTF">2003-02-24T11:18:01Z</dcterms:created>
  <dcterms:modified xsi:type="dcterms:W3CDTF">2015-10-14T05:51:19Z</dcterms:modified>
  <cp:category/>
  <cp:version/>
  <cp:contentType/>
  <cp:contentStatus/>
</cp:coreProperties>
</file>